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0" windowWidth="15600" windowHeight="7995"/>
  </bookViews>
  <sheets>
    <sheet name="Total" sheetId="4" r:id="rId1"/>
    <sheet name="Actual Month End" sheetId="6" r:id="rId2"/>
    <sheet name="Actual Year End" sheetId="7" r:id="rId3"/>
    <sheet name="Reconciled Month End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AI742" i="4"/>
  <c r="AH742"/>
  <c r="AG742"/>
  <c r="AF742"/>
  <c r="AE742"/>
  <c r="AD742"/>
  <c r="AC742"/>
  <c r="AB742"/>
  <c r="AA742"/>
  <c r="Z742"/>
  <c r="Y742"/>
  <c r="X742"/>
  <c r="W742"/>
  <c r="V742"/>
  <c r="U742"/>
  <c r="T742"/>
  <c r="S742"/>
  <c r="R742"/>
  <c r="Q742"/>
  <c r="P742"/>
  <c r="O742"/>
  <c r="N742"/>
  <c r="M742"/>
  <c r="L742"/>
  <c r="K742"/>
  <c r="H742"/>
  <c r="H746" l="1"/>
  <c r="H745"/>
  <c r="H747" s="1"/>
  <c r="G742"/>
  <c r="F742"/>
  <c r="G746" l="1"/>
  <c r="G745"/>
  <c r="G747" s="1"/>
  <c r="F747"/>
  <c r="F746"/>
  <c r="F745"/>
  <c r="E746"/>
  <c r="E747" s="1"/>
  <c r="G731"/>
  <c r="E745"/>
  <c r="E742"/>
  <c r="AH731"/>
  <c r="AH730"/>
  <c r="AG730"/>
  <c r="AG731"/>
  <c r="AF731"/>
  <c r="AF730"/>
  <c r="AC731" l="1"/>
  <c r="AC730"/>
  <c r="AB731"/>
  <c r="AB730"/>
  <c r="AA731"/>
  <c r="AA730"/>
  <c r="Z731"/>
  <c r="Z730"/>
  <c r="Y731"/>
  <c r="Y730"/>
  <c r="V730"/>
  <c r="Y727"/>
  <c r="U731"/>
  <c r="U730"/>
  <c r="T730"/>
  <c r="T731"/>
  <c r="S731"/>
  <c r="S730"/>
  <c r="O730"/>
  <c r="O732" s="1"/>
  <c r="R731"/>
  <c r="R730"/>
  <c r="N731"/>
  <c r="N730"/>
  <c r="M730"/>
  <c r="M731"/>
  <c r="AH732"/>
  <c r="AG732"/>
  <c r="AF732"/>
  <c r="AE732"/>
  <c r="AD732"/>
  <c r="X732"/>
  <c r="W732"/>
  <c r="Q732"/>
  <c r="P732"/>
  <c r="AH727"/>
  <c r="AG727"/>
  <c r="AF727"/>
  <c r="AE727"/>
  <c r="AD727"/>
  <c r="AC727"/>
  <c r="AB727"/>
  <c r="AA727"/>
  <c r="Z727"/>
  <c r="X727"/>
  <c r="W727"/>
  <c r="V727"/>
  <c r="U727"/>
  <c r="T727"/>
  <c r="S727"/>
  <c r="R727"/>
  <c r="Q727"/>
  <c r="P727"/>
  <c r="O727"/>
  <c r="N727"/>
  <c r="M727"/>
  <c r="L727"/>
  <c r="K727"/>
  <c r="L732"/>
  <c r="K732"/>
  <c r="L731"/>
  <c r="K731"/>
  <c r="L730"/>
  <c r="K730"/>
  <c r="AC732" l="1"/>
  <c r="AB732"/>
  <c r="AA732"/>
  <c r="Z732"/>
  <c r="V732"/>
  <c r="Y732"/>
  <c r="U732"/>
  <c r="T732"/>
  <c r="S732"/>
  <c r="R732"/>
  <c r="N732"/>
  <c r="M732"/>
  <c r="H731"/>
  <c r="H730"/>
  <c r="H732" s="1"/>
  <c r="H727"/>
  <c r="G732" l="1"/>
  <c r="G730"/>
  <c r="G727"/>
  <c r="F732" l="1"/>
  <c r="F731"/>
  <c r="F730"/>
  <c r="F727"/>
  <c r="AG718"/>
  <c r="AG717"/>
  <c r="AF718"/>
  <c r="AF717"/>
  <c r="AB717"/>
  <c r="AC718" l="1"/>
  <c r="AB718"/>
  <c r="AC717"/>
  <c r="AA718"/>
  <c r="AA717"/>
  <c r="Z718"/>
  <c r="Z717"/>
  <c r="U717"/>
  <c r="V718"/>
  <c r="Y718"/>
  <c r="Y717"/>
  <c r="V717"/>
  <c r="U718"/>
  <c r="L718"/>
  <c r="L717"/>
  <c r="T717"/>
  <c r="T718"/>
  <c r="S718"/>
  <c r="S717"/>
  <c r="R717"/>
  <c r="R718"/>
  <c r="O717"/>
  <c r="O718"/>
  <c r="N717"/>
  <c r="N718"/>
  <c r="M717"/>
  <c r="M718"/>
  <c r="K717" l="1"/>
  <c r="G717"/>
  <c r="K713"/>
  <c r="K718" l="1"/>
  <c r="H718"/>
  <c r="H717"/>
  <c r="G718"/>
  <c r="F718"/>
  <c r="F717"/>
  <c r="AI704"/>
  <c r="AG719"/>
  <c r="AF719"/>
  <c r="AE719"/>
  <c r="AD719"/>
  <c r="AC719"/>
  <c r="AB719"/>
  <c r="AA719"/>
  <c r="Z719"/>
  <c r="Y719"/>
  <c r="X719"/>
  <c r="W719"/>
  <c r="V719"/>
  <c r="U719"/>
  <c r="T719"/>
  <c r="S719"/>
  <c r="R719"/>
  <c r="Q719"/>
  <c r="P719"/>
  <c r="O719"/>
  <c r="N719"/>
  <c r="M719"/>
  <c r="L719"/>
  <c r="J719"/>
  <c r="I719"/>
  <c r="E718"/>
  <c r="E719" s="1"/>
  <c r="E717"/>
  <c r="AG714"/>
  <c r="AF714"/>
  <c r="AE714"/>
  <c r="AD714"/>
  <c r="AC714"/>
  <c r="AB714"/>
  <c r="AA714"/>
  <c r="Z714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AI705"/>
  <c r="AH705"/>
  <c r="AH704"/>
  <c r="AG705"/>
  <c r="AG704"/>
  <c r="AF705"/>
  <c r="AF704"/>
  <c r="AF706" s="1"/>
  <c r="AC705"/>
  <c r="AC704"/>
  <c r="AA704"/>
  <c r="AB705"/>
  <c r="AB706" s="1"/>
  <c r="AA705"/>
  <c r="AB704"/>
  <c r="Z705"/>
  <c r="Z704"/>
  <c r="Z706" s="1"/>
  <c r="Y705"/>
  <c r="Y704"/>
  <c r="V705"/>
  <c r="V704"/>
  <c r="U705"/>
  <c r="U704"/>
  <c r="T705"/>
  <c r="T704"/>
  <c r="S705"/>
  <c r="S704"/>
  <c r="Q706"/>
  <c r="P706"/>
  <c r="R705"/>
  <c r="O705"/>
  <c r="R704"/>
  <c r="O704"/>
  <c r="O706" s="1"/>
  <c r="N704"/>
  <c r="N705"/>
  <c r="N706" s="1"/>
  <c r="M705"/>
  <c r="M704"/>
  <c r="L705"/>
  <c r="L706" s="1"/>
  <c r="L704"/>
  <c r="K705"/>
  <c r="K704"/>
  <c r="K706" s="1"/>
  <c r="G705"/>
  <c r="G704"/>
  <c r="F705"/>
  <c r="F704"/>
  <c r="G701"/>
  <c r="AG688"/>
  <c r="AF688"/>
  <c r="AG687"/>
  <c r="AF687"/>
  <c r="E705"/>
  <c r="E704"/>
  <c r="E706" s="1"/>
  <c r="AI701"/>
  <c r="AH701"/>
  <c r="AG701"/>
  <c r="AF701"/>
  <c r="AE701"/>
  <c r="AD701"/>
  <c r="AC701"/>
  <c r="AB701"/>
  <c r="AA701"/>
  <c r="Z701"/>
  <c r="Y701"/>
  <c r="X701"/>
  <c r="W701"/>
  <c r="V701"/>
  <c r="U701"/>
  <c r="T701"/>
  <c r="S701"/>
  <c r="R701"/>
  <c r="Q701"/>
  <c r="P701"/>
  <c r="O701"/>
  <c r="N701"/>
  <c r="M701"/>
  <c r="L701"/>
  <c r="K701"/>
  <c r="J701"/>
  <c r="I701"/>
  <c r="H701"/>
  <c r="F701"/>
  <c r="E701"/>
  <c r="AC688"/>
  <c r="AC687"/>
  <c r="AB688"/>
  <c r="Y706" l="1"/>
  <c r="R706"/>
  <c r="T706"/>
  <c r="U706"/>
  <c r="AG706"/>
  <c r="F706"/>
  <c r="M706"/>
  <c r="V706"/>
  <c r="AH706"/>
  <c r="AI706"/>
  <c r="G706"/>
  <c r="AC706"/>
  <c r="K719"/>
  <c r="H719"/>
  <c r="G719"/>
  <c r="F719"/>
  <c r="AA706"/>
  <c r="S706"/>
  <c r="AB687"/>
  <c r="AA688"/>
  <c r="AA687"/>
  <c r="Z688"/>
  <c r="Z687"/>
  <c r="V688"/>
  <c r="Y688"/>
  <c r="Y687"/>
  <c r="V687"/>
  <c r="U687"/>
  <c r="U688"/>
  <c r="T688"/>
  <c r="T687"/>
  <c r="S688"/>
  <c r="S687"/>
  <c r="R688"/>
  <c r="R687"/>
  <c r="O688"/>
  <c r="O687"/>
  <c r="O689" s="1"/>
  <c r="N688"/>
  <c r="N687"/>
  <c r="M688"/>
  <c r="M687"/>
  <c r="L687"/>
  <c r="K687"/>
  <c r="H687"/>
  <c r="M684"/>
  <c r="L688"/>
  <c r="K688"/>
  <c r="H688"/>
  <c r="F687"/>
  <c r="G688"/>
  <c r="F688"/>
  <c r="G687"/>
  <c r="E688"/>
  <c r="E687"/>
  <c r="AG689"/>
  <c r="AF689"/>
  <c r="AE689"/>
  <c r="AD689"/>
  <c r="AC689"/>
  <c r="X689"/>
  <c r="W689"/>
  <c r="Q689"/>
  <c r="P689"/>
  <c r="L689"/>
  <c r="J689"/>
  <c r="I689"/>
  <c r="AG684"/>
  <c r="AF684"/>
  <c r="AE684"/>
  <c r="AD684"/>
  <c r="AC684"/>
  <c r="AB684"/>
  <c r="AA684"/>
  <c r="Z684"/>
  <c r="Y684"/>
  <c r="X684"/>
  <c r="W684"/>
  <c r="V684"/>
  <c r="U684"/>
  <c r="T684"/>
  <c r="S684"/>
  <c r="R684"/>
  <c r="Q684"/>
  <c r="P684"/>
  <c r="O684"/>
  <c r="N684"/>
  <c r="L684"/>
  <c r="K684"/>
  <c r="J684"/>
  <c r="I684"/>
  <c r="H684"/>
  <c r="G684"/>
  <c r="F684"/>
  <c r="E684"/>
  <c r="AH674"/>
  <c r="AH673"/>
  <c r="AG674"/>
  <c r="AG673"/>
  <c r="AF674"/>
  <c r="AF673"/>
  <c r="AA674"/>
  <c r="AC674"/>
  <c r="AC673"/>
  <c r="AA673"/>
  <c r="Y673"/>
  <c r="Z674"/>
  <c r="Z673"/>
  <c r="Z670"/>
  <c r="Y674"/>
  <c r="V674"/>
  <c r="V673"/>
  <c r="S674"/>
  <c r="U673"/>
  <c r="U674"/>
  <c r="T674"/>
  <c r="T673"/>
  <c r="S673"/>
  <c r="O673"/>
  <c r="R673"/>
  <c r="R674"/>
  <c r="R675" s="1"/>
  <c r="O674"/>
  <c r="N673"/>
  <c r="N674"/>
  <c r="M674"/>
  <c r="M673"/>
  <c r="L674"/>
  <c r="L670"/>
  <c r="L673"/>
  <c r="K674"/>
  <c r="K675" s="1"/>
  <c r="K673"/>
  <c r="H673"/>
  <c r="H674"/>
  <c r="G674"/>
  <c r="G673"/>
  <c r="G675" s="1"/>
  <c r="F673"/>
  <c r="E674"/>
  <c r="E675" s="1"/>
  <c r="E673"/>
  <c r="AH661"/>
  <c r="AH660"/>
  <c r="AH662" s="1"/>
  <c r="AE675"/>
  <c r="AD675"/>
  <c r="AB675"/>
  <c r="X675"/>
  <c r="W675"/>
  <c r="Q675"/>
  <c r="P675"/>
  <c r="N675"/>
  <c r="M675"/>
  <c r="J675"/>
  <c r="I675"/>
  <c r="F674"/>
  <c r="F675" s="1"/>
  <c r="AH670"/>
  <c r="AG670"/>
  <c r="AF670"/>
  <c r="AE670"/>
  <c r="AD670"/>
  <c r="AC670"/>
  <c r="AB670"/>
  <c r="AA670"/>
  <c r="Y670"/>
  <c r="X670"/>
  <c r="W670"/>
  <c r="V670"/>
  <c r="U670"/>
  <c r="T670"/>
  <c r="S670"/>
  <c r="R670"/>
  <c r="Q670"/>
  <c r="P670"/>
  <c r="O670"/>
  <c r="N670"/>
  <c r="M670"/>
  <c r="K670"/>
  <c r="J670"/>
  <c r="I670"/>
  <c r="H670"/>
  <c r="G670"/>
  <c r="F670"/>
  <c r="E670"/>
  <c r="AG661"/>
  <c r="AG660"/>
  <c r="AG662" s="1"/>
  <c r="AC661"/>
  <c r="AC660"/>
  <c r="AF661"/>
  <c r="H675"/>
  <c r="AF660"/>
  <c r="AF662" s="1"/>
  <c r="AB660"/>
  <c r="AB661"/>
  <c r="AA661"/>
  <c r="AA660"/>
  <c r="Z661"/>
  <c r="Z660"/>
  <c r="Z662" s="1"/>
  <c r="Y661"/>
  <c r="Y660"/>
  <c r="Y662" s="1"/>
  <c r="V661"/>
  <c r="V660"/>
  <c r="U661"/>
  <c r="U660"/>
  <c r="T661"/>
  <c r="T660"/>
  <c r="T662" s="1"/>
  <c r="S660"/>
  <c r="S662" s="1"/>
  <c r="O661"/>
  <c r="S661"/>
  <c r="R661"/>
  <c r="R660"/>
  <c r="R662" s="1"/>
  <c r="O660"/>
  <c r="N661"/>
  <c r="N660"/>
  <c r="N662" s="1"/>
  <c r="M661"/>
  <c r="M660"/>
  <c r="M662" s="1"/>
  <c r="L661"/>
  <c r="L660"/>
  <c r="K661"/>
  <c r="K660"/>
  <c r="H661"/>
  <c r="H660"/>
  <c r="H662" s="1"/>
  <c r="G661"/>
  <c r="G660"/>
  <c r="F661"/>
  <c r="F660"/>
  <c r="AE662"/>
  <c r="AD662"/>
  <c r="AC662"/>
  <c r="AB662"/>
  <c r="AA662"/>
  <c r="X662"/>
  <c r="W662"/>
  <c r="V662"/>
  <c r="Q662"/>
  <c r="P662"/>
  <c r="O662"/>
  <c r="L662"/>
  <c r="J662"/>
  <c r="I662"/>
  <c r="E661"/>
  <c r="E660"/>
  <c r="AH657"/>
  <c r="AG657"/>
  <c r="AF657"/>
  <c r="AE657"/>
  <c r="AD657"/>
  <c r="AC657"/>
  <c r="AB657"/>
  <c r="AA657"/>
  <c r="Z657"/>
  <c r="Y657"/>
  <c r="X657"/>
  <c r="W657"/>
  <c r="V657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AG646"/>
  <c r="AG645"/>
  <c r="F662"/>
  <c r="AF646"/>
  <c r="AF647" s="1"/>
  <c r="AF645"/>
  <c r="AC645"/>
  <c r="AB646"/>
  <c r="AB647" s="1"/>
  <c r="AB645"/>
  <c r="Z640"/>
  <c r="Z646" s="1"/>
  <c r="AA645"/>
  <c r="Z645"/>
  <c r="Y646"/>
  <c r="Y645"/>
  <c r="V646"/>
  <c r="V647" s="1"/>
  <c r="V645"/>
  <c r="U646"/>
  <c r="U645"/>
  <c r="U647" s="1"/>
  <c r="T646"/>
  <c r="T645"/>
  <c r="T647" s="1"/>
  <c r="AA646"/>
  <c r="AA647" s="1"/>
  <c r="R645"/>
  <c r="R647" s="1"/>
  <c r="S645"/>
  <c r="S646"/>
  <c r="R646"/>
  <c r="O646"/>
  <c r="O645"/>
  <c r="M642"/>
  <c r="N646"/>
  <c r="N645"/>
  <c r="M646"/>
  <c r="M647" s="1"/>
  <c r="M645"/>
  <c r="L646"/>
  <c r="L645"/>
  <c r="L647" s="1"/>
  <c r="K646"/>
  <c r="K645"/>
  <c r="K647" s="1"/>
  <c r="H646"/>
  <c r="H645"/>
  <c r="G645"/>
  <c r="G647" s="1"/>
  <c r="G646"/>
  <c r="F645"/>
  <c r="F646"/>
  <c r="AE647"/>
  <c r="AD647"/>
  <c r="X647"/>
  <c r="W647"/>
  <c r="Q647"/>
  <c r="P647"/>
  <c r="O647"/>
  <c r="N647"/>
  <c r="J647"/>
  <c r="I647"/>
  <c r="E646"/>
  <c r="E645"/>
  <c r="AG642"/>
  <c r="AF642"/>
  <c r="AE642"/>
  <c r="AD642"/>
  <c r="AC642"/>
  <c r="AB642"/>
  <c r="AA642"/>
  <c r="Z642"/>
  <c r="Y642"/>
  <c r="X642"/>
  <c r="W642"/>
  <c r="V642"/>
  <c r="U642"/>
  <c r="T642"/>
  <c r="S642"/>
  <c r="R642"/>
  <c r="Q642"/>
  <c r="P642"/>
  <c r="O642"/>
  <c r="N642"/>
  <c r="L642"/>
  <c r="K642"/>
  <c r="J642"/>
  <c r="I642"/>
  <c r="H642"/>
  <c r="G642"/>
  <c r="F642"/>
  <c r="E642"/>
  <c r="AF632"/>
  <c r="AF633" s="1"/>
  <c r="AF631"/>
  <c r="AC631"/>
  <c r="AC632"/>
  <c r="AC633" s="1"/>
  <c r="AB632"/>
  <c r="AB631"/>
  <c r="AA632"/>
  <c r="AA631"/>
  <c r="Z632"/>
  <c r="Z631"/>
  <c r="Y631"/>
  <c r="Y632"/>
  <c r="V632"/>
  <c r="V631"/>
  <c r="V633" s="1"/>
  <c r="U632"/>
  <c r="U631"/>
  <c r="T632"/>
  <c r="T631"/>
  <c r="S631"/>
  <c r="S633" s="1"/>
  <c r="Y633"/>
  <c r="F647"/>
  <c r="R632"/>
  <c r="R631"/>
  <c r="R633" s="1"/>
  <c r="O632"/>
  <c r="O631"/>
  <c r="O633" s="1"/>
  <c r="N632"/>
  <c r="N631"/>
  <c r="N633" s="1"/>
  <c r="M632"/>
  <c r="M633" s="1"/>
  <c r="M631"/>
  <c r="L632"/>
  <c r="L631"/>
  <c r="K631"/>
  <c r="K633" s="1"/>
  <c r="K632"/>
  <c r="H631"/>
  <c r="H633" s="1"/>
  <c r="H632"/>
  <c r="G632"/>
  <c r="G631"/>
  <c r="G633" s="1"/>
  <c r="F632"/>
  <c r="F631"/>
  <c r="E632"/>
  <c r="E631"/>
  <c r="AF628"/>
  <c r="AE628"/>
  <c r="AD628"/>
  <c r="AC628"/>
  <c r="AB628"/>
  <c r="AA628"/>
  <c r="Z628"/>
  <c r="Y628"/>
  <c r="X628"/>
  <c r="W628"/>
  <c r="V628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AI616"/>
  <c r="AI615"/>
  <c r="AH615"/>
  <c r="AG616"/>
  <c r="AH616" s="1"/>
  <c r="AH617" s="1"/>
  <c r="AG615"/>
  <c r="AG617" s="1"/>
  <c r="AF615"/>
  <c r="AF616"/>
  <c r="AC616"/>
  <c r="AC615"/>
  <c r="AB616"/>
  <c r="AB615"/>
  <c r="AB617"/>
  <c r="AA616"/>
  <c r="AA615"/>
  <c r="Z616"/>
  <c r="Z617" s="1"/>
  <c r="Z615"/>
  <c r="Y616"/>
  <c r="Y617"/>
  <c r="Y615"/>
  <c r="U615"/>
  <c r="U616"/>
  <c r="U617" s="1"/>
  <c r="T616"/>
  <c r="T617" s="1"/>
  <c r="T615"/>
  <c r="S616"/>
  <c r="S617"/>
  <c r="S615"/>
  <c r="R616"/>
  <c r="R615"/>
  <c r="O616"/>
  <c r="O615"/>
  <c r="N616"/>
  <c r="N617" s="1"/>
  <c r="N615"/>
  <c r="M616"/>
  <c r="M615"/>
  <c r="L616"/>
  <c r="L615"/>
  <c r="L617" s="1"/>
  <c r="K616"/>
  <c r="K617" s="1"/>
  <c r="K615"/>
  <c r="H616"/>
  <c r="G616"/>
  <c r="G617" s="1"/>
  <c r="AE617"/>
  <c r="AD617"/>
  <c r="X617"/>
  <c r="W617"/>
  <c r="V617"/>
  <c r="Q617"/>
  <c r="P617"/>
  <c r="J617"/>
  <c r="I617"/>
  <c r="E617"/>
  <c r="H615"/>
  <c r="H617" s="1"/>
  <c r="G615"/>
  <c r="F615"/>
  <c r="F617" s="1"/>
  <c r="AH599"/>
  <c r="AH601" s="1"/>
  <c r="AG599"/>
  <c r="AG601" s="1"/>
  <c r="AF599"/>
  <c r="AF601"/>
  <c r="AC599"/>
  <c r="AC601" s="1"/>
  <c r="AA599"/>
  <c r="AA601" s="1"/>
  <c r="Z599"/>
  <c r="Z601" s="1"/>
  <c r="AI612"/>
  <c r="AH612"/>
  <c r="AG612"/>
  <c r="AF612"/>
  <c r="AE612"/>
  <c r="AD612"/>
  <c r="AC612"/>
  <c r="AB612"/>
  <c r="AA612"/>
  <c r="Z612"/>
  <c r="Y612"/>
  <c r="X612"/>
  <c r="W612"/>
  <c r="V612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Y600"/>
  <c r="Y599"/>
  <c r="Y601" s="1"/>
  <c r="V599"/>
  <c r="V600"/>
  <c r="U600"/>
  <c r="U599"/>
  <c r="T600"/>
  <c r="T599"/>
  <c r="S599"/>
  <c r="S600"/>
  <c r="S601" s="1"/>
  <c r="R600"/>
  <c r="R599"/>
  <c r="R601"/>
  <c r="N599"/>
  <c r="M600"/>
  <c r="N600"/>
  <c r="O600"/>
  <c r="O599"/>
  <c r="M599"/>
  <c r="M601" s="1"/>
  <c r="L596"/>
  <c r="L599"/>
  <c r="K600"/>
  <c r="K599"/>
  <c r="H600"/>
  <c r="H599"/>
  <c r="G600"/>
  <c r="G599"/>
  <c r="F600"/>
  <c r="F599"/>
  <c r="E600"/>
  <c r="E599"/>
  <c r="AH596"/>
  <c r="AG596"/>
  <c r="AE601"/>
  <c r="AD601"/>
  <c r="AB601"/>
  <c r="X601"/>
  <c r="W601"/>
  <c r="Q601"/>
  <c r="P601"/>
  <c r="J601"/>
  <c r="I601"/>
  <c r="AF596"/>
  <c r="AE596"/>
  <c r="AD596"/>
  <c r="AC596"/>
  <c r="AB596"/>
  <c r="AA596"/>
  <c r="Z596"/>
  <c r="Y596"/>
  <c r="X596"/>
  <c r="W596"/>
  <c r="V596"/>
  <c r="U596"/>
  <c r="T596"/>
  <c r="S596"/>
  <c r="R596"/>
  <c r="Q596"/>
  <c r="P596"/>
  <c r="O596"/>
  <c r="N596"/>
  <c r="M596"/>
  <c r="K596"/>
  <c r="J596"/>
  <c r="I596"/>
  <c r="H596"/>
  <c r="G596"/>
  <c r="F596"/>
  <c r="E596"/>
  <c r="AH579"/>
  <c r="AH578"/>
  <c r="AH577"/>
  <c r="AH585"/>
  <c r="AB584"/>
  <c r="AC584"/>
  <c r="AC583"/>
  <c r="AC585" s="1"/>
  <c r="AB583"/>
  <c r="AB585" s="1"/>
  <c r="AA584"/>
  <c r="AA583"/>
  <c r="Z584"/>
  <c r="Z583"/>
  <c r="Y580"/>
  <c r="Y583"/>
  <c r="V584"/>
  <c r="V585" s="1"/>
  <c r="V583"/>
  <c r="U583"/>
  <c r="U584"/>
  <c r="T584"/>
  <c r="T583"/>
  <c r="T585" s="1"/>
  <c r="R584"/>
  <c r="S584"/>
  <c r="S585"/>
  <c r="S583"/>
  <c r="R583"/>
  <c r="R585" s="1"/>
  <c r="O584"/>
  <c r="O583"/>
  <c r="N584"/>
  <c r="N583"/>
  <c r="K584"/>
  <c r="K583"/>
  <c r="H584"/>
  <c r="H583"/>
  <c r="G583"/>
  <c r="G584"/>
  <c r="E584"/>
  <c r="E583"/>
  <c r="AI568"/>
  <c r="AI567"/>
  <c r="AI569" s="1"/>
  <c r="AJ563"/>
  <c r="AJ562"/>
  <c r="AJ561"/>
  <c r="AK569"/>
  <c r="AK564"/>
  <c r="F584"/>
  <c r="F583"/>
  <c r="AG585"/>
  <c r="AF585"/>
  <c r="AE585"/>
  <c r="AD585"/>
  <c r="X585"/>
  <c r="W585"/>
  <c r="Q585"/>
  <c r="P585"/>
  <c r="M585"/>
  <c r="L585"/>
  <c r="J585"/>
  <c r="I585"/>
  <c r="AG580"/>
  <c r="AF580"/>
  <c r="AE580"/>
  <c r="AD580"/>
  <c r="AC580"/>
  <c r="AB580"/>
  <c r="AA580"/>
  <c r="Z580"/>
  <c r="X580"/>
  <c r="W580"/>
  <c r="V580"/>
  <c r="U580"/>
  <c r="T580"/>
  <c r="S580"/>
  <c r="R580"/>
  <c r="Q580"/>
  <c r="P580"/>
  <c r="O580"/>
  <c r="N580"/>
  <c r="M580"/>
  <c r="L580"/>
  <c r="K580"/>
  <c r="J580"/>
  <c r="I580"/>
  <c r="H580"/>
  <c r="G580"/>
  <c r="F580"/>
  <c r="E580"/>
  <c r="AH568"/>
  <c r="AH569" s="1"/>
  <c r="AH567"/>
  <c r="AG567"/>
  <c r="AG569" s="1"/>
  <c r="AG568"/>
  <c r="AF567"/>
  <c r="AF569"/>
  <c r="AF568"/>
  <c r="AC568"/>
  <c r="AC567"/>
  <c r="AC569" s="1"/>
  <c r="AB568"/>
  <c r="AB567"/>
  <c r="AB569" s="1"/>
  <c r="Y568"/>
  <c r="AA568"/>
  <c r="AA567"/>
  <c r="AA569" s="1"/>
  <c r="Z568"/>
  <c r="Z567"/>
  <c r="Z569" s="1"/>
  <c r="Y567"/>
  <c r="V568"/>
  <c r="V567"/>
  <c r="U568"/>
  <c r="U567"/>
  <c r="T567"/>
  <c r="T569" s="1"/>
  <c r="T568"/>
  <c r="S567"/>
  <c r="S569" s="1"/>
  <c r="S568"/>
  <c r="R568"/>
  <c r="R567"/>
  <c r="O568"/>
  <c r="O567"/>
  <c r="N568"/>
  <c r="N569" s="1"/>
  <c r="N567"/>
  <c r="M568"/>
  <c r="M567"/>
  <c r="L568"/>
  <c r="L567"/>
  <c r="L569" s="1"/>
  <c r="K564"/>
  <c r="K567"/>
  <c r="H568"/>
  <c r="H569" s="1"/>
  <c r="H567"/>
  <c r="G567"/>
  <c r="G568"/>
  <c r="G569" s="1"/>
  <c r="F567"/>
  <c r="F568"/>
  <c r="E568"/>
  <c r="E567"/>
  <c r="AE569"/>
  <c r="AD569"/>
  <c r="X569"/>
  <c r="W569"/>
  <c r="Q569"/>
  <c r="P569"/>
  <c r="J569"/>
  <c r="I569"/>
  <c r="AI564"/>
  <c r="AH564"/>
  <c r="AG564"/>
  <c r="AF564"/>
  <c r="AE564"/>
  <c r="AD564"/>
  <c r="AC564"/>
  <c r="AB564"/>
  <c r="AA564"/>
  <c r="Z564"/>
  <c r="Y564"/>
  <c r="X564"/>
  <c r="W564"/>
  <c r="V564"/>
  <c r="U564"/>
  <c r="T564"/>
  <c r="S564"/>
  <c r="R564"/>
  <c r="Q564"/>
  <c r="P564"/>
  <c r="O564"/>
  <c r="N564"/>
  <c r="M564"/>
  <c r="L564"/>
  <c r="J564"/>
  <c r="I564"/>
  <c r="H564"/>
  <c r="G564"/>
  <c r="F564"/>
  <c r="E564"/>
  <c r="AG550"/>
  <c r="AG552" s="1"/>
  <c r="AG551"/>
  <c r="AF551"/>
  <c r="AF550"/>
  <c r="AC551"/>
  <c r="AC550"/>
  <c r="AC552" s="1"/>
  <c r="AB551"/>
  <c r="AB550"/>
  <c r="AB547"/>
  <c r="AA551"/>
  <c r="AA550"/>
  <c r="AA552" s="1"/>
  <c r="Z551"/>
  <c r="Z550"/>
  <c r="Y551"/>
  <c r="Y550"/>
  <c r="V550"/>
  <c r="V551"/>
  <c r="U551"/>
  <c r="U552"/>
  <c r="U550"/>
  <c r="T550"/>
  <c r="T551"/>
  <c r="T552" s="1"/>
  <c r="S551"/>
  <c r="S550"/>
  <c r="R551"/>
  <c r="R552" s="1"/>
  <c r="R550"/>
  <c r="O551"/>
  <c r="O550"/>
  <c r="N551"/>
  <c r="N550"/>
  <c r="N552" s="1"/>
  <c r="M551"/>
  <c r="M550"/>
  <c r="L551"/>
  <c r="L552" s="1"/>
  <c r="L550"/>
  <c r="K550"/>
  <c r="K552" s="1"/>
  <c r="K551"/>
  <c r="H550"/>
  <c r="H551"/>
  <c r="H552" s="1"/>
  <c r="AI552"/>
  <c r="AH552"/>
  <c r="AE552"/>
  <c r="AD552"/>
  <c r="X552"/>
  <c r="W552"/>
  <c r="Q552"/>
  <c r="P552"/>
  <c r="AI547"/>
  <c r="AH547"/>
  <c r="AG547"/>
  <c r="AF547"/>
  <c r="AE547"/>
  <c r="AD547"/>
  <c r="AC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H547"/>
  <c r="AI532"/>
  <c r="AJ531"/>
  <c r="AJ533" s="1"/>
  <c r="AJ530"/>
  <c r="AI531"/>
  <c r="AI533" s="1"/>
  <c r="AI530"/>
  <c r="E552"/>
  <c r="G551"/>
  <c r="G552" s="1"/>
  <c r="F551"/>
  <c r="G550"/>
  <c r="F550"/>
  <c r="AH537"/>
  <c r="AH536"/>
  <c r="AH538" s="1"/>
  <c r="G547"/>
  <c r="F547"/>
  <c r="E547"/>
  <c r="AG537"/>
  <c r="AG536"/>
  <c r="AC537"/>
  <c r="AF537"/>
  <c r="AF536"/>
  <c r="AC536"/>
  <c r="AB537"/>
  <c r="AB536"/>
  <c r="AB538" s="1"/>
  <c r="AA536"/>
  <c r="Z536"/>
  <c r="Z538" s="1"/>
  <c r="AA537"/>
  <c r="AA533"/>
  <c r="Z537"/>
  <c r="Y536"/>
  <c r="Y537"/>
  <c r="Y538"/>
  <c r="V536"/>
  <c r="V537"/>
  <c r="U537"/>
  <c r="U536"/>
  <c r="U538" s="1"/>
  <c r="T537"/>
  <c r="T536"/>
  <c r="T538" s="1"/>
  <c r="S537"/>
  <c r="S536"/>
  <c r="R537"/>
  <c r="R538" s="1"/>
  <c r="R536"/>
  <c r="I13" i="7"/>
  <c r="O537" i="4"/>
  <c r="N537"/>
  <c r="O536"/>
  <c r="O538" s="1"/>
  <c r="N536"/>
  <c r="N538" s="1"/>
  <c r="L536"/>
  <c r="M536"/>
  <c r="M537"/>
  <c r="L537"/>
  <c r="K536"/>
  <c r="K537"/>
  <c r="AE538"/>
  <c r="AD538"/>
  <c r="X538"/>
  <c r="W538"/>
  <c r="Q538"/>
  <c r="P538"/>
  <c r="J538"/>
  <c r="I538"/>
  <c r="H537"/>
  <c r="H536"/>
  <c r="H538" s="1"/>
  <c r="G537"/>
  <c r="G536"/>
  <c r="G538" s="1"/>
  <c r="F537"/>
  <c r="F536"/>
  <c r="AH533"/>
  <c r="AG533"/>
  <c r="AF533"/>
  <c r="AE533"/>
  <c r="AD533"/>
  <c r="AC533"/>
  <c r="AB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7"/>
  <c r="E538"/>
  <c r="E536"/>
  <c r="E533"/>
  <c r="AK515"/>
  <c r="AK514"/>
  <c r="AH497"/>
  <c r="AH496"/>
  <c r="AJ516"/>
  <c r="AJ515"/>
  <c r="AJ517" s="1"/>
  <c r="AJ514"/>
  <c r="AG498"/>
  <c r="AG497"/>
  <c r="AG496"/>
  <c r="AI521"/>
  <c r="AI520"/>
  <c r="AH521"/>
  <c r="AG521"/>
  <c r="AG522" s="1"/>
  <c r="AH520"/>
  <c r="AG520"/>
  <c r="AF521"/>
  <c r="AF520"/>
  <c r="AC521"/>
  <c r="AC520"/>
  <c r="AC522" s="1"/>
  <c r="AB521"/>
  <c r="AB520"/>
  <c r="AB522" s="1"/>
  <c r="AA520"/>
  <c r="AA521"/>
  <c r="Z521"/>
  <c r="Z520"/>
  <c r="Y521"/>
  <c r="Y522" s="1"/>
  <c r="Y520"/>
  <c r="V521"/>
  <c r="V520"/>
  <c r="U521"/>
  <c r="U520"/>
  <c r="T521"/>
  <c r="T520"/>
  <c r="T522" s="1"/>
  <c r="S521"/>
  <c r="S522" s="1"/>
  <c r="S520"/>
  <c r="R521"/>
  <c r="R522" s="1"/>
  <c r="R520"/>
  <c r="O521"/>
  <c r="O520"/>
  <c r="N520"/>
  <c r="N521"/>
  <c r="M521"/>
  <c r="M520"/>
  <c r="L521"/>
  <c r="L522" s="1"/>
  <c r="L520"/>
  <c r="G521"/>
  <c r="K521"/>
  <c r="K520"/>
  <c r="H522"/>
  <c r="G520"/>
  <c r="G522" s="1"/>
  <c r="G517"/>
  <c r="AK522"/>
  <c r="AJ522"/>
  <c r="AE522"/>
  <c r="AD522"/>
  <c r="X522"/>
  <c r="W522"/>
  <c r="Q522"/>
  <c r="P522"/>
  <c r="J522"/>
  <c r="I522"/>
  <c r="F521"/>
  <c r="F520"/>
  <c r="E521"/>
  <c r="E520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F517"/>
  <c r="E517"/>
  <c r="AF503"/>
  <c r="AC503"/>
  <c r="AF502"/>
  <c r="AF504" s="1"/>
  <c r="AC502"/>
  <c r="AC504" s="1"/>
  <c r="AB503"/>
  <c r="AB502"/>
  <c r="AA502"/>
  <c r="AA504" s="1"/>
  <c r="AA503"/>
  <c r="Z502"/>
  <c r="Z503"/>
  <c r="Z504" s="1"/>
  <c r="Y503"/>
  <c r="Y502"/>
  <c r="Y504" s="1"/>
  <c r="V503"/>
  <c r="V502"/>
  <c r="U502"/>
  <c r="U504" s="1"/>
  <c r="U503"/>
  <c r="T503"/>
  <c r="O502"/>
  <c r="O504" s="1"/>
  <c r="T502"/>
  <c r="S503"/>
  <c r="S504" s="1"/>
  <c r="S502"/>
  <c r="R503"/>
  <c r="R502"/>
  <c r="R504" s="1"/>
  <c r="O503"/>
  <c r="N503"/>
  <c r="N502"/>
  <c r="N504" s="1"/>
  <c r="M502"/>
  <c r="M503"/>
  <c r="M504" s="1"/>
  <c r="L503"/>
  <c r="L502"/>
  <c r="K503"/>
  <c r="H503"/>
  <c r="K502"/>
  <c r="K504" s="1"/>
  <c r="H502"/>
  <c r="H504" s="1"/>
  <c r="G502"/>
  <c r="G504"/>
  <c r="K499"/>
  <c r="G503"/>
  <c r="F503"/>
  <c r="AE504"/>
  <c r="AD504"/>
  <c r="X504"/>
  <c r="W504"/>
  <c r="Q504"/>
  <c r="P504"/>
  <c r="J504"/>
  <c r="I504"/>
  <c r="F502"/>
  <c r="E503"/>
  <c r="E502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J499"/>
  <c r="I499"/>
  <c r="H499"/>
  <c r="G499"/>
  <c r="F499"/>
  <c r="E499"/>
  <c r="AI486"/>
  <c r="AI485"/>
  <c r="AI487" s="1"/>
  <c r="AH486"/>
  <c r="AH485"/>
  <c r="AH487" s="1"/>
  <c r="AG485"/>
  <c r="AG486"/>
  <c r="AF486"/>
  <c r="AF487" s="1"/>
  <c r="AF485"/>
  <c r="AB486"/>
  <c r="AB485"/>
  <c r="AB482"/>
  <c r="AA486"/>
  <c r="AA485"/>
  <c r="AA487" s="1"/>
  <c r="Z486"/>
  <c r="Z485"/>
  <c r="Z487" s="1"/>
  <c r="Z482"/>
  <c r="Y486"/>
  <c r="Y485"/>
  <c r="Y487" s="1"/>
  <c r="T486"/>
  <c r="V486"/>
  <c r="V485"/>
  <c r="U486"/>
  <c r="U485"/>
  <c r="U487" s="1"/>
  <c r="T485"/>
  <c r="S486"/>
  <c r="R486"/>
  <c r="R485"/>
  <c r="S485"/>
  <c r="S487" s="1"/>
  <c r="O486"/>
  <c r="O487" s="1"/>
  <c r="O485"/>
  <c r="N486"/>
  <c r="N487" s="1"/>
  <c r="N485"/>
  <c r="M486"/>
  <c r="M485"/>
  <c r="M487" s="1"/>
  <c r="L486"/>
  <c r="L485"/>
  <c r="K486"/>
  <c r="K485"/>
  <c r="H482"/>
  <c r="H486"/>
  <c r="H485"/>
  <c r="H487" s="1"/>
  <c r="G486"/>
  <c r="G485"/>
  <c r="F486"/>
  <c r="F485"/>
  <c r="F487" s="1"/>
  <c r="AE487"/>
  <c r="AD487"/>
  <c r="AC487"/>
  <c r="X487"/>
  <c r="W487"/>
  <c r="Q487"/>
  <c r="P487"/>
  <c r="J487"/>
  <c r="I487"/>
  <c r="AK479"/>
  <c r="AJ479"/>
  <c r="AJ463"/>
  <c r="AJ462"/>
  <c r="AJ465" s="1"/>
  <c r="AI463"/>
  <c r="AI462"/>
  <c r="AI446"/>
  <c r="AI448" s="1"/>
  <c r="AI445"/>
  <c r="AH446"/>
  <c r="AH448" s="1"/>
  <c r="AH445"/>
  <c r="AI482"/>
  <c r="AH482"/>
  <c r="AG482"/>
  <c r="AF482"/>
  <c r="AE482"/>
  <c r="AD482"/>
  <c r="AC482"/>
  <c r="AA482"/>
  <c r="Y482"/>
  <c r="X482"/>
  <c r="W482"/>
  <c r="V482"/>
  <c r="U482"/>
  <c r="T482"/>
  <c r="S482"/>
  <c r="R482"/>
  <c r="Q482"/>
  <c r="P482"/>
  <c r="O482"/>
  <c r="N482"/>
  <c r="M482"/>
  <c r="L482"/>
  <c r="K482"/>
  <c r="J482"/>
  <c r="I482"/>
  <c r="G482"/>
  <c r="F482"/>
  <c r="E482"/>
  <c r="E486"/>
  <c r="E487" s="1"/>
  <c r="E485"/>
  <c r="AH469"/>
  <c r="AH468"/>
  <c r="AG469"/>
  <c r="AG468"/>
  <c r="AF469"/>
  <c r="AF468"/>
  <c r="AF465"/>
  <c r="AC469"/>
  <c r="AC468"/>
  <c r="AB469"/>
  <c r="AB468"/>
  <c r="AB470" s="1"/>
  <c r="AA468"/>
  <c r="AA470" s="1"/>
  <c r="AA469"/>
  <c r="Z469"/>
  <c r="Z468"/>
  <c r="Z470" s="1"/>
  <c r="Y465"/>
  <c r="Y468"/>
  <c r="Y470" s="1"/>
  <c r="V469"/>
  <c r="V468"/>
  <c r="U469"/>
  <c r="U468"/>
  <c r="T469"/>
  <c r="T468"/>
  <c r="S469"/>
  <c r="S468"/>
  <c r="S470" s="1"/>
  <c r="R469"/>
  <c r="R468"/>
  <c r="O469"/>
  <c r="O468"/>
  <c r="N469"/>
  <c r="N468"/>
  <c r="M469"/>
  <c r="M468"/>
  <c r="M470" s="1"/>
  <c r="K469"/>
  <c r="L469"/>
  <c r="L468"/>
  <c r="L470" s="1"/>
  <c r="K468"/>
  <c r="AE470"/>
  <c r="AD470"/>
  <c r="X470"/>
  <c r="W470"/>
  <c r="Q470"/>
  <c r="P470"/>
  <c r="H469"/>
  <c r="H468"/>
  <c r="G469"/>
  <c r="G468"/>
  <c r="G470" s="1"/>
  <c r="F468"/>
  <c r="F469"/>
  <c r="F470" s="1"/>
  <c r="E469"/>
  <c r="E468"/>
  <c r="E470" s="1"/>
  <c r="AH465"/>
  <c r="AG465"/>
  <c r="AE465"/>
  <c r="AD465"/>
  <c r="AC465"/>
  <c r="AB465"/>
  <c r="AA465"/>
  <c r="Z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AG452"/>
  <c r="AG451"/>
  <c r="AF452"/>
  <c r="AF451"/>
  <c r="AC452"/>
  <c r="AC453" s="1"/>
  <c r="AC451"/>
  <c r="AB451"/>
  <c r="AB452"/>
  <c r="AB453" s="1"/>
  <c r="AA452"/>
  <c r="AA451"/>
  <c r="V470"/>
  <c r="AK480"/>
  <c r="AJ480"/>
  <c r="AJ482" s="1"/>
  <c r="Y469"/>
  <c r="Z452"/>
  <c r="Z451"/>
  <c r="Z453" s="1"/>
  <c r="Y452"/>
  <c r="Y451"/>
  <c r="V452"/>
  <c r="V451"/>
  <c r="U451"/>
  <c r="U452"/>
  <c r="T451"/>
  <c r="T452"/>
  <c r="T453" s="1"/>
  <c r="S452"/>
  <c r="S453" s="1"/>
  <c r="S451"/>
  <c r="S448"/>
  <c r="R452"/>
  <c r="R451"/>
  <c r="O452"/>
  <c r="O451"/>
  <c r="O453" s="1"/>
  <c r="N452"/>
  <c r="N451"/>
  <c r="N448"/>
  <c r="M452"/>
  <c r="M451"/>
  <c r="M453" s="1"/>
  <c r="K452"/>
  <c r="L452"/>
  <c r="K451"/>
  <c r="L451"/>
  <c r="AI453"/>
  <c r="AH453"/>
  <c r="AE453"/>
  <c r="AD453"/>
  <c r="X453"/>
  <c r="W453"/>
  <c r="Q453"/>
  <c r="P453"/>
  <c r="J453"/>
  <c r="I453"/>
  <c r="H452"/>
  <c r="H451"/>
  <c r="G452"/>
  <c r="G451"/>
  <c r="G453" s="1"/>
  <c r="AG448"/>
  <c r="AF448"/>
  <c r="AE448"/>
  <c r="AD448"/>
  <c r="AC448"/>
  <c r="AB448"/>
  <c r="AA448"/>
  <c r="Z448"/>
  <c r="Y448"/>
  <c r="X448"/>
  <c r="W448"/>
  <c r="V448"/>
  <c r="U448"/>
  <c r="T448"/>
  <c r="R448"/>
  <c r="Q448"/>
  <c r="P448"/>
  <c r="O448"/>
  <c r="M448"/>
  <c r="L448"/>
  <c r="K448"/>
  <c r="J448"/>
  <c r="I448"/>
  <c r="H448"/>
  <c r="G448"/>
  <c r="F448"/>
  <c r="E448"/>
  <c r="F452"/>
  <c r="F451"/>
  <c r="E452"/>
  <c r="E451"/>
  <c r="Z9" i="6"/>
  <c r="Z8"/>
  <c r="AF431" i="4"/>
  <c r="AF430"/>
  <c r="AC431"/>
  <c r="AC430"/>
  <c r="AB431"/>
  <c r="AB430"/>
  <c r="AA431"/>
  <c r="AA430"/>
  <c r="AA432" s="1"/>
  <c r="Z431"/>
  <c r="Z430"/>
  <c r="Y431"/>
  <c r="Y430"/>
  <c r="V430"/>
  <c r="V431"/>
  <c r="U430"/>
  <c r="U431"/>
  <c r="T431"/>
  <c r="T430"/>
  <c r="T432" s="1"/>
  <c r="S431"/>
  <c r="R431"/>
  <c r="S430"/>
  <c r="S432" s="1"/>
  <c r="R430"/>
  <c r="O431"/>
  <c r="O430"/>
  <c r="O432" s="1"/>
  <c r="Y8" i="6"/>
  <c r="Y9"/>
  <c r="AH425" i="4"/>
  <c r="AH424"/>
  <c r="AG425"/>
  <c r="AG424"/>
  <c r="AG427" s="1"/>
  <c r="AE432"/>
  <c r="AD432"/>
  <c r="X432"/>
  <c r="W432"/>
  <c r="Q432"/>
  <c r="P432"/>
  <c r="J432"/>
  <c r="I432"/>
  <c r="N431"/>
  <c r="M431"/>
  <c r="L431"/>
  <c r="L432" s="1"/>
  <c r="K431"/>
  <c r="H431"/>
  <c r="G431"/>
  <c r="F431"/>
  <c r="E431"/>
  <c r="N430"/>
  <c r="N432" s="1"/>
  <c r="M430"/>
  <c r="M432"/>
  <c r="L430"/>
  <c r="K430"/>
  <c r="K432" s="1"/>
  <c r="H430"/>
  <c r="H432" s="1"/>
  <c r="G430"/>
  <c r="F430"/>
  <c r="E430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AH410"/>
  <c r="AG410"/>
  <c r="AF410"/>
  <c r="AC410"/>
  <c r="AC411" s="1"/>
  <c r="AB410"/>
  <c r="AB411" s="1"/>
  <c r="AA410"/>
  <c r="Z410"/>
  <c r="U410"/>
  <c r="Y410" s="1"/>
  <c r="T410"/>
  <c r="S410"/>
  <c r="S411" s="1"/>
  <c r="R410"/>
  <c r="O410"/>
  <c r="O411" s="1"/>
  <c r="N410"/>
  <c r="M410"/>
  <c r="L410"/>
  <c r="K410"/>
  <c r="H410"/>
  <c r="G410"/>
  <c r="G411" s="1"/>
  <c r="F410"/>
  <c r="AH409"/>
  <c r="AH411" s="1"/>
  <c r="AG409"/>
  <c r="AF409"/>
  <c r="AC409"/>
  <c r="AB409"/>
  <c r="AA409"/>
  <c r="Z409"/>
  <c r="Y409"/>
  <c r="U409"/>
  <c r="U411" s="1"/>
  <c r="T409"/>
  <c r="S409"/>
  <c r="R409"/>
  <c r="O409"/>
  <c r="N409"/>
  <c r="M409"/>
  <c r="M411" s="1"/>
  <c r="L409"/>
  <c r="K409"/>
  <c r="K411" s="1"/>
  <c r="H409"/>
  <c r="G409"/>
  <c r="F409"/>
  <c r="F411" s="1"/>
  <c r="I9" i="6"/>
  <c r="N9"/>
  <c r="X9"/>
  <c r="X8"/>
  <c r="W9"/>
  <c r="W8"/>
  <c r="V9"/>
  <c r="V8"/>
  <c r="U9"/>
  <c r="U8"/>
  <c r="T9"/>
  <c r="T8"/>
  <c r="S9"/>
  <c r="S8"/>
  <c r="R9"/>
  <c r="R8"/>
  <c r="Q8"/>
  <c r="P9"/>
  <c r="P8"/>
  <c r="P10" s="1"/>
  <c r="O9"/>
  <c r="O8"/>
  <c r="N8"/>
  <c r="M9"/>
  <c r="M8"/>
  <c r="L9"/>
  <c r="L8"/>
  <c r="K9"/>
  <c r="K8"/>
  <c r="J9"/>
  <c r="J8"/>
  <c r="I8"/>
  <c r="H9"/>
  <c r="H8"/>
  <c r="G9"/>
  <c r="G8"/>
  <c r="G10" s="1"/>
  <c r="F9"/>
  <c r="F8"/>
  <c r="E9"/>
  <c r="E8"/>
  <c r="D9"/>
  <c r="D8"/>
  <c r="C9"/>
  <c r="C8"/>
  <c r="C10" s="1"/>
  <c r="B9"/>
  <c r="B8"/>
  <c r="D15" i="7"/>
  <c r="C15"/>
  <c r="H13"/>
  <c r="G13"/>
  <c r="F13"/>
  <c r="E13"/>
  <c r="E15" s="1"/>
  <c r="H8"/>
  <c r="G8"/>
  <c r="F8"/>
  <c r="E8"/>
  <c r="AJ404" i="4"/>
  <c r="AJ403"/>
  <c r="AJ406" s="1"/>
  <c r="AI404"/>
  <c r="AI403"/>
  <c r="AI386"/>
  <c r="AI385"/>
  <c r="AH386"/>
  <c r="AH385"/>
  <c r="AJ371"/>
  <c r="AJ370"/>
  <c r="AJ373"/>
  <c r="AI371"/>
  <c r="AI370"/>
  <c r="AI373" s="1"/>
  <c r="AK349"/>
  <c r="AK351" s="1"/>
  <c r="AK348"/>
  <c r="AJ349"/>
  <c r="AJ348"/>
  <c r="AH333"/>
  <c r="AH332"/>
  <c r="AH335" s="1"/>
  <c r="AG333"/>
  <c r="AG332"/>
  <c r="AK317"/>
  <c r="AK316"/>
  <c r="AJ317"/>
  <c r="AJ316"/>
  <c r="AJ318" s="1"/>
  <c r="AJ299"/>
  <c r="AJ300" s="1"/>
  <c r="AJ298"/>
  <c r="AI299"/>
  <c r="AI300" s="1"/>
  <c r="AI298"/>
  <c r="AI271"/>
  <c r="AH271"/>
  <c r="AK254"/>
  <c r="AJ254"/>
  <c r="AI240"/>
  <c r="AI239"/>
  <c r="AH240"/>
  <c r="AH241" s="1"/>
  <c r="AH239"/>
  <c r="AJ225"/>
  <c r="AI225"/>
  <c r="AH210"/>
  <c r="AI211"/>
  <c r="AH211"/>
  <c r="AI210"/>
  <c r="AJ197"/>
  <c r="AJ196"/>
  <c r="AI197"/>
  <c r="AI196"/>
  <c r="AC179"/>
  <c r="AC178"/>
  <c r="AC180" s="1"/>
  <c r="AB179"/>
  <c r="AB178"/>
  <c r="AB180" s="1"/>
  <c r="AJ164"/>
  <c r="AJ163"/>
  <c r="AJ165" s="1"/>
  <c r="AI164"/>
  <c r="AI163"/>
  <c r="AI165" s="1"/>
  <c r="AI150"/>
  <c r="AI149"/>
  <c r="AH150"/>
  <c r="AH149"/>
  <c r="AJ135"/>
  <c r="AJ134"/>
  <c r="AI135"/>
  <c r="AI134"/>
  <c r="AI136" s="1"/>
  <c r="AK119"/>
  <c r="AK118"/>
  <c r="AK120" s="1"/>
  <c r="AJ119"/>
  <c r="AJ118"/>
  <c r="AE411"/>
  <c r="AD411"/>
  <c r="X411"/>
  <c r="W411"/>
  <c r="V411"/>
  <c r="Q411"/>
  <c r="P411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U391"/>
  <c r="U393" s="1"/>
  <c r="U392"/>
  <c r="T392"/>
  <c r="T391"/>
  <c r="S392"/>
  <c r="S391"/>
  <c r="R391"/>
  <c r="R393" s="1"/>
  <c r="R392"/>
  <c r="AG393"/>
  <c r="AF393"/>
  <c r="AE393"/>
  <c r="AD393"/>
  <c r="AC393"/>
  <c r="AB393"/>
  <c r="AA393"/>
  <c r="Z393"/>
  <c r="Y393"/>
  <c r="X393"/>
  <c r="W393"/>
  <c r="V393"/>
  <c r="Q393"/>
  <c r="P393"/>
  <c r="J393"/>
  <c r="I393"/>
  <c r="O391"/>
  <c r="O392"/>
  <c r="N391"/>
  <c r="N392"/>
  <c r="N393" s="1"/>
  <c r="M391"/>
  <c r="M392"/>
  <c r="L391"/>
  <c r="L393" s="1"/>
  <c r="L392"/>
  <c r="K392"/>
  <c r="K393" s="1"/>
  <c r="K391"/>
  <c r="H391"/>
  <c r="H392"/>
  <c r="H393" s="1"/>
  <c r="G392"/>
  <c r="G391"/>
  <c r="F392"/>
  <c r="F391"/>
  <c r="F393" s="1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92"/>
  <c r="E391"/>
  <c r="E393" s="1"/>
  <c r="E388"/>
  <c r="AH377"/>
  <c r="AH376"/>
  <c r="AG376"/>
  <c r="AF376"/>
  <c r="AG377"/>
  <c r="AF377"/>
  <c r="AC377"/>
  <c r="AC376"/>
  <c r="AB377"/>
  <c r="AB376"/>
  <c r="Y377"/>
  <c r="Y376"/>
  <c r="V377"/>
  <c r="V376"/>
  <c r="U377"/>
  <c r="U376"/>
  <c r="T377"/>
  <c r="T376"/>
  <c r="S376"/>
  <c r="S377"/>
  <c r="R377"/>
  <c r="R376"/>
  <c r="O377"/>
  <c r="O376"/>
  <c r="L376"/>
  <c r="K376"/>
  <c r="L377"/>
  <c r="K377"/>
  <c r="H376"/>
  <c r="H377"/>
  <c r="G377"/>
  <c r="G376"/>
  <c r="F376"/>
  <c r="F377"/>
  <c r="E377"/>
  <c r="E376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AI354"/>
  <c r="AI355"/>
  <c r="AH355"/>
  <c r="AH354"/>
  <c r="AF355"/>
  <c r="AG355"/>
  <c r="AG354"/>
  <c r="AF354"/>
  <c r="AC354"/>
  <c r="AC355"/>
  <c r="AB354"/>
  <c r="AB355"/>
  <c r="AA355"/>
  <c r="AA354"/>
  <c r="AA351"/>
  <c r="Z354"/>
  <c r="Y354"/>
  <c r="Z355"/>
  <c r="Y355"/>
  <c r="V354"/>
  <c r="U354"/>
  <c r="U355"/>
  <c r="T355"/>
  <c r="T354"/>
  <c r="S354"/>
  <c r="S355"/>
  <c r="R355"/>
  <c r="R354"/>
  <c r="R351"/>
  <c r="O354"/>
  <c r="O355"/>
  <c r="N365"/>
  <c r="N354"/>
  <c r="N355"/>
  <c r="M354"/>
  <c r="M355"/>
  <c r="M351"/>
  <c r="L355"/>
  <c r="L354"/>
  <c r="K355"/>
  <c r="K354"/>
  <c r="H355"/>
  <c r="H354"/>
  <c r="G354"/>
  <c r="G355"/>
  <c r="F355"/>
  <c r="F354"/>
  <c r="E355"/>
  <c r="E354"/>
  <c r="AI351"/>
  <c r="AH351"/>
  <c r="AG351"/>
  <c r="AF351"/>
  <c r="AE351"/>
  <c r="AD351"/>
  <c r="AC351"/>
  <c r="AB351"/>
  <c r="Z351"/>
  <c r="Y351"/>
  <c r="X351"/>
  <c r="W351"/>
  <c r="V351"/>
  <c r="U351"/>
  <c r="T351"/>
  <c r="S351"/>
  <c r="Q351"/>
  <c r="P351"/>
  <c r="O351"/>
  <c r="N351"/>
  <c r="L351"/>
  <c r="K351"/>
  <c r="J351"/>
  <c r="I351"/>
  <c r="H351"/>
  <c r="G351"/>
  <c r="F351"/>
  <c r="E351"/>
  <c r="AF338"/>
  <c r="AF339"/>
  <c r="AC338"/>
  <c r="AC339"/>
  <c r="AB339"/>
  <c r="AB338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AA339"/>
  <c r="AA338"/>
  <c r="Z339"/>
  <c r="Z338"/>
  <c r="Y338"/>
  <c r="V338"/>
  <c r="Y339"/>
  <c r="V339"/>
  <c r="U338"/>
  <c r="T338"/>
  <c r="U339"/>
  <c r="T339"/>
  <c r="S339"/>
  <c r="S338"/>
  <c r="R338"/>
  <c r="R339"/>
  <c r="O338"/>
  <c r="O339"/>
  <c r="N339"/>
  <c r="N338"/>
  <c r="M338"/>
  <c r="M339"/>
  <c r="L339"/>
  <c r="L338"/>
  <c r="K339"/>
  <c r="K338"/>
  <c r="H339"/>
  <c r="H338"/>
  <c r="G339"/>
  <c r="G338"/>
  <c r="F339"/>
  <c r="F338"/>
  <c r="AI323"/>
  <c r="AI322"/>
  <c r="AH323"/>
  <c r="AH322"/>
  <c r="AG322"/>
  <c r="AF323"/>
  <c r="AF322"/>
  <c r="AC322"/>
  <c r="AC323"/>
  <c r="AB322"/>
  <c r="AB323"/>
  <c r="AA323"/>
  <c r="AA322"/>
  <c r="Z322"/>
  <c r="Z323"/>
  <c r="Y322"/>
  <c r="Y323"/>
  <c r="V323"/>
  <c r="V322"/>
  <c r="U323"/>
  <c r="U322"/>
  <c r="T322"/>
  <c r="T323"/>
  <c r="S323"/>
  <c r="S322"/>
  <c r="R323"/>
  <c r="R322"/>
  <c r="O323"/>
  <c r="O322"/>
  <c r="N322"/>
  <c r="N323"/>
  <c r="N318"/>
  <c r="N320" s="1"/>
  <c r="M322"/>
  <c r="L322"/>
  <c r="M323"/>
  <c r="L323"/>
  <c r="K323"/>
  <c r="K322"/>
  <c r="H323"/>
  <c r="H322"/>
  <c r="G322"/>
  <c r="G323"/>
  <c r="AI318"/>
  <c r="AH318"/>
  <c r="AG318"/>
  <c r="AF318"/>
  <c r="AE318"/>
  <c r="AD318"/>
  <c r="AC318"/>
  <c r="AC320"/>
  <c r="AB318"/>
  <c r="AA318"/>
  <c r="AA320"/>
  <c r="Z318"/>
  <c r="Z320" s="1"/>
  <c r="Y318"/>
  <c r="X318"/>
  <c r="W318"/>
  <c r="V318"/>
  <c r="U318"/>
  <c r="T318"/>
  <c r="S318"/>
  <c r="R318"/>
  <c r="Q318"/>
  <c r="P318"/>
  <c r="O318"/>
  <c r="M318"/>
  <c r="M320" s="1"/>
  <c r="L318"/>
  <c r="L320" s="1"/>
  <c r="K318"/>
  <c r="J318"/>
  <c r="I318"/>
  <c r="H318"/>
  <c r="G318"/>
  <c r="F322"/>
  <c r="F323"/>
  <c r="F318"/>
  <c r="E323"/>
  <c r="E322"/>
  <c r="E318"/>
  <c r="AH305"/>
  <c r="AH304"/>
  <c r="AG312"/>
  <c r="AG304"/>
  <c r="AG305"/>
  <c r="AF304"/>
  <c r="AF305"/>
  <c r="AC304"/>
  <c r="AB305"/>
  <c r="AB304"/>
  <c r="AA305"/>
  <c r="AC305"/>
  <c r="AA304"/>
  <c r="AA311"/>
  <c r="Z305"/>
  <c r="Z304"/>
  <c r="Y305"/>
  <c r="Y304"/>
  <c r="V304"/>
  <c r="V305"/>
  <c r="U304"/>
  <c r="U305"/>
  <c r="T304"/>
  <c r="T305"/>
  <c r="S304"/>
  <c r="S305"/>
  <c r="R305"/>
  <c r="R304"/>
  <c r="O305"/>
  <c r="O304"/>
  <c r="M305"/>
  <c r="L305"/>
  <c r="N304"/>
  <c r="N305"/>
  <c r="L304"/>
  <c r="M304"/>
  <c r="K305"/>
  <c r="H305"/>
  <c r="K304"/>
  <c r="H304"/>
  <c r="H300"/>
  <c r="F304"/>
  <c r="F305"/>
  <c r="AH300"/>
  <c r="AG300"/>
  <c r="AF300"/>
  <c r="AE300"/>
  <c r="AD300"/>
  <c r="AC300"/>
  <c r="AB300"/>
  <c r="AA300"/>
  <c r="AA302"/>
  <c r="Z300"/>
  <c r="Y300"/>
  <c r="X300"/>
  <c r="W300"/>
  <c r="V300"/>
  <c r="U300"/>
  <c r="T300"/>
  <c r="T302"/>
  <c r="S300"/>
  <c r="S302" s="1"/>
  <c r="R300"/>
  <c r="Q300"/>
  <c r="P300"/>
  <c r="O300"/>
  <c r="N300"/>
  <c r="N302" s="1"/>
  <c r="M300"/>
  <c r="L300"/>
  <c r="K300"/>
  <c r="J300"/>
  <c r="I300"/>
  <c r="F300"/>
  <c r="E305"/>
  <c r="E304"/>
  <c r="E300"/>
  <c r="AG276"/>
  <c r="AG277"/>
  <c r="AF277"/>
  <c r="AF276"/>
  <c r="AC277"/>
  <c r="AC276"/>
  <c r="AC289"/>
  <c r="AC291"/>
  <c r="AC273"/>
  <c r="AB282"/>
  <c r="AB276"/>
  <c r="AB277"/>
  <c r="AA277"/>
  <c r="V277"/>
  <c r="AA276"/>
  <c r="Z277"/>
  <c r="Z276"/>
  <c r="Y276"/>
  <c r="Y277"/>
  <c r="V276"/>
  <c r="U277"/>
  <c r="U276"/>
  <c r="T277"/>
  <c r="S277"/>
  <c r="N277"/>
  <c r="R277"/>
  <c r="O277"/>
  <c r="S276"/>
  <c r="T276"/>
  <c r="R276"/>
  <c r="O276"/>
  <c r="AG273"/>
  <c r="AF273"/>
  <c r="AE273"/>
  <c r="AD273"/>
  <c r="AB273"/>
  <c r="AA273"/>
  <c r="Z273"/>
  <c r="Z275" s="1"/>
  <c r="Y273"/>
  <c r="Y275" s="1"/>
  <c r="X273"/>
  <c r="W273"/>
  <c r="V273"/>
  <c r="U273"/>
  <c r="T273"/>
  <c r="S273"/>
  <c r="R273"/>
  <c r="Q273"/>
  <c r="P273"/>
  <c r="O273"/>
  <c r="K277"/>
  <c r="H277"/>
  <c r="H276"/>
  <c r="G276"/>
  <c r="O286"/>
  <c r="O289" s="1"/>
  <c r="K276"/>
  <c r="L276"/>
  <c r="M276"/>
  <c r="N276"/>
  <c r="N273"/>
  <c r="M273"/>
  <c r="L273"/>
  <c r="K273"/>
  <c r="J273"/>
  <c r="I273"/>
  <c r="H273"/>
  <c r="G273"/>
  <c r="E94"/>
  <c r="E93"/>
  <c r="AF78"/>
  <c r="AE78"/>
  <c r="AD78"/>
  <c r="AC78"/>
  <c r="AB78"/>
  <c r="AF77"/>
  <c r="AC77"/>
  <c r="AB77"/>
  <c r="AG245"/>
  <c r="AF245"/>
  <c r="AC245"/>
  <c r="F276"/>
  <c r="AI255"/>
  <c r="Q9" i="6" s="1"/>
  <c r="AH255" i="4"/>
  <c r="AH256" s="1"/>
  <c r="AG255"/>
  <c r="AG256" s="1"/>
  <c r="E276"/>
  <c r="E272"/>
  <c r="E273" s="1"/>
  <c r="F272"/>
  <c r="G277" s="1"/>
  <c r="AI260"/>
  <c r="AH260"/>
  <c r="AG260"/>
  <c r="AC257"/>
  <c r="AB260"/>
  <c r="AC255"/>
  <c r="AC256" s="1"/>
  <c r="AB255"/>
  <c r="AE261" s="1"/>
  <c r="AC260"/>
  <c r="AA255"/>
  <c r="AA261" s="1"/>
  <c r="Y255"/>
  <c r="Z255"/>
  <c r="Z261" s="1"/>
  <c r="AE260"/>
  <c r="AD260"/>
  <c r="AA260"/>
  <c r="Z260"/>
  <c r="Y260"/>
  <c r="AF256"/>
  <c r="AE256"/>
  <c r="AD256"/>
  <c r="V256"/>
  <c r="V264"/>
  <c r="V261" s="1"/>
  <c r="T255"/>
  <c r="U265"/>
  <c r="V260"/>
  <c r="U260"/>
  <c r="U256"/>
  <c r="S255"/>
  <c r="S256" s="1"/>
  <c r="T260"/>
  <c r="R255"/>
  <c r="R261" s="1"/>
  <c r="S260"/>
  <c r="R260"/>
  <c r="O260"/>
  <c r="N261"/>
  <c r="M261"/>
  <c r="N260"/>
  <c r="M257"/>
  <c r="N257" s="1"/>
  <c r="O261" s="1"/>
  <c r="O256"/>
  <c r="N256"/>
  <c r="M256"/>
  <c r="K261"/>
  <c r="K260"/>
  <c r="L261"/>
  <c r="J261"/>
  <c r="I261"/>
  <c r="H261"/>
  <c r="G261"/>
  <c r="L260"/>
  <c r="J260"/>
  <c r="I260"/>
  <c r="H260"/>
  <c r="G260"/>
  <c r="L256"/>
  <c r="K256"/>
  <c r="J256"/>
  <c r="I256"/>
  <c r="H256"/>
  <c r="G256"/>
  <c r="F261"/>
  <c r="F260"/>
  <c r="F256"/>
  <c r="E256"/>
  <c r="AC242"/>
  <c r="AC243" s="1"/>
  <c r="AB246"/>
  <c r="AB245"/>
  <c r="AC241"/>
  <c r="AG241"/>
  <c r="AF241"/>
  <c r="AE241"/>
  <c r="AD241"/>
  <c r="AB241"/>
  <c r="AB243" s="1"/>
  <c r="AA246"/>
  <c r="AA245"/>
  <c r="AA241"/>
  <c r="Z246"/>
  <c r="Z245"/>
  <c r="Y246"/>
  <c r="Y245"/>
  <c r="X246"/>
  <c r="W246"/>
  <c r="V246"/>
  <c r="X245"/>
  <c r="W245"/>
  <c r="V245"/>
  <c r="Z241"/>
  <c r="Z243" s="1"/>
  <c r="Y241"/>
  <c r="X241"/>
  <c r="W241"/>
  <c r="V241"/>
  <c r="U246"/>
  <c r="T246"/>
  <c r="U245"/>
  <c r="T245"/>
  <c r="S245"/>
  <c r="T241"/>
  <c r="S241"/>
  <c r="U241"/>
  <c r="O242"/>
  <c r="S246"/>
  <c r="R246"/>
  <c r="R245"/>
  <c r="O246"/>
  <c r="O245"/>
  <c r="R241"/>
  <c r="Q241"/>
  <c r="P241"/>
  <c r="O241"/>
  <c r="O243" s="1"/>
  <c r="N246"/>
  <c r="N245"/>
  <c r="N241"/>
  <c r="N243" s="1"/>
  <c r="M246"/>
  <c r="M245"/>
  <c r="M241"/>
  <c r="L61"/>
  <c r="F61"/>
  <c r="G61"/>
  <c r="H61"/>
  <c r="N61"/>
  <c r="M61"/>
  <c r="K61"/>
  <c r="L246"/>
  <c r="L245"/>
  <c r="K246"/>
  <c r="K245"/>
  <c r="L241"/>
  <c r="K241"/>
  <c r="K243" s="1"/>
  <c r="H246"/>
  <c r="H245"/>
  <c r="H241"/>
  <c r="H243"/>
  <c r="G246"/>
  <c r="G241"/>
  <c r="G245"/>
  <c r="F245"/>
  <c r="F241"/>
  <c r="F246"/>
  <c r="E246"/>
  <c r="E245"/>
  <c r="E241"/>
  <c r="AH232"/>
  <c r="AG232"/>
  <c r="AH231"/>
  <c r="AG231"/>
  <c r="R231"/>
  <c r="R232"/>
  <c r="AF232"/>
  <c r="AF231"/>
  <c r="O231"/>
  <c r="AC231"/>
  <c r="Y231"/>
  <c r="K232"/>
  <c r="K231"/>
  <c r="AE232"/>
  <c r="AD232"/>
  <c r="AC232"/>
  <c r="X232"/>
  <c r="T232"/>
  <c r="S232"/>
  <c r="Q232"/>
  <c r="P232"/>
  <c r="O232"/>
  <c r="N232"/>
  <c r="M232"/>
  <c r="L232"/>
  <c r="AE231"/>
  <c r="AD231"/>
  <c r="AB231"/>
  <c r="AA231"/>
  <c r="Z231"/>
  <c r="X231"/>
  <c r="W231"/>
  <c r="V231"/>
  <c r="U231"/>
  <c r="T231"/>
  <c r="S231"/>
  <c r="Q231"/>
  <c r="P231"/>
  <c r="N231"/>
  <c r="M231"/>
  <c r="L231"/>
  <c r="H232"/>
  <c r="H231"/>
  <c r="G232"/>
  <c r="G231"/>
  <c r="F232"/>
  <c r="F231"/>
  <c r="AA226"/>
  <c r="AB232" s="1"/>
  <c r="U226"/>
  <c r="V226" s="1"/>
  <c r="V232" s="1"/>
  <c r="Z226"/>
  <c r="Z227" s="1"/>
  <c r="Y226"/>
  <c r="Y227" s="1"/>
  <c r="AH227"/>
  <c r="AG227"/>
  <c r="AF227"/>
  <c r="AF229"/>
  <c r="AE227"/>
  <c r="AD227"/>
  <c r="AC227"/>
  <c r="AC229" s="1"/>
  <c r="AB227"/>
  <c r="X227"/>
  <c r="W227"/>
  <c r="T227"/>
  <c r="S227"/>
  <c r="R227"/>
  <c r="Q227"/>
  <c r="P227"/>
  <c r="O227"/>
  <c r="O229" s="1"/>
  <c r="N227"/>
  <c r="M227"/>
  <c r="L227"/>
  <c r="K227"/>
  <c r="J227"/>
  <c r="I227"/>
  <c r="H227"/>
  <c r="G227"/>
  <c r="F227"/>
  <c r="E227"/>
  <c r="E229" s="1"/>
  <c r="AG212"/>
  <c r="AG214"/>
  <c r="AF212"/>
  <c r="AE212"/>
  <c r="AD212"/>
  <c r="AC212"/>
  <c r="AB212"/>
  <c r="AA212"/>
  <c r="Z212"/>
  <c r="Y212"/>
  <c r="X212"/>
  <c r="W212"/>
  <c r="V212"/>
  <c r="U212"/>
  <c r="T212"/>
  <c r="T214" s="1"/>
  <c r="S212"/>
  <c r="R212"/>
  <c r="Q212"/>
  <c r="P212"/>
  <c r="O212"/>
  <c r="O214" s="1"/>
  <c r="N212"/>
  <c r="M212"/>
  <c r="L212"/>
  <c r="K212"/>
  <c r="J212"/>
  <c r="I212"/>
  <c r="H212"/>
  <c r="G212"/>
  <c r="F212"/>
  <c r="F214" s="1"/>
  <c r="E212"/>
  <c r="E214"/>
  <c r="AH198"/>
  <c r="AG198"/>
  <c r="AF198"/>
  <c r="AE198"/>
  <c r="AD198"/>
  <c r="AC198"/>
  <c r="AB198"/>
  <c r="AA198"/>
  <c r="Z198"/>
  <c r="Z200"/>
  <c r="Y198"/>
  <c r="X198"/>
  <c r="W198"/>
  <c r="V198"/>
  <c r="U198"/>
  <c r="U200"/>
  <c r="T198"/>
  <c r="S198"/>
  <c r="R198"/>
  <c r="Q198"/>
  <c r="P198"/>
  <c r="O198"/>
  <c r="N198"/>
  <c r="M198"/>
  <c r="L198"/>
  <c r="K198"/>
  <c r="J198"/>
  <c r="I198"/>
  <c r="H198"/>
  <c r="G198"/>
  <c r="F198"/>
  <c r="AA180"/>
  <c r="Z180"/>
  <c r="Y180"/>
  <c r="X180"/>
  <c r="W180"/>
  <c r="V180"/>
  <c r="U180"/>
  <c r="T180"/>
  <c r="T182"/>
  <c r="S180"/>
  <c r="R180"/>
  <c r="Q180"/>
  <c r="P180"/>
  <c r="O180"/>
  <c r="N180"/>
  <c r="M180"/>
  <c r="L180"/>
  <c r="K180"/>
  <c r="J180"/>
  <c r="I180"/>
  <c r="H180"/>
  <c r="H182" s="1"/>
  <c r="G180"/>
  <c r="F180"/>
  <c r="E180"/>
  <c r="AF165"/>
  <c r="AH165"/>
  <c r="AG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K167" s="1"/>
  <c r="J165"/>
  <c r="I165"/>
  <c r="H165"/>
  <c r="H167"/>
  <c r="G165"/>
  <c r="F165"/>
  <c r="E165"/>
  <c r="AG151"/>
  <c r="AF151"/>
  <c r="AE151"/>
  <c r="AD151"/>
  <c r="AC151"/>
  <c r="AB151"/>
  <c r="AA151"/>
  <c r="Z151"/>
  <c r="Y151"/>
  <c r="X151"/>
  <c r="W151"/>
  <c r="V151"/>
  <c r="V153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AH136"/>
  <c r="AH138" s="1"/>
  <c r="AG136"/>
  <c r="AF136"/>
  <c r="AE136"/>
  <c r="AD136"/>
  <c r="AC136"/>
  <c r="AB136"/>
  <c r="AA136"/>
  <c r="Z136"/>
  <c r="Y136"/>
  <c r="X136"/>
  <c r="W136"/>
  <c r="V136"/>
  <c r="V138"/>
  <c r="U136"/>
  <c r="U138" s="1"/>
  <c r="T136"/>
  <c r="S136"/>
  <c r="R136"/>
  <c r="Q136"/>
  <c r="P136"/>
  <c r="O136"/>
  <c r="O138" s="1"/>
  <c r="N136"/>
  <c r="M136"/>
  <c r="L136"/>
  <c r="K136"/>
  <c r="J136"/>
  <c r="I136"/>
  <c r="H136"/>
  <c r="G136"/>
  <c r="F136"/>
  <c r="E136"/>
  <c r="AI120"/>
  <c r="AH120"/>
  <c r="AH122" s="1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AI103"/>
  <c r="AI105" s="1"/>
  <c r="AI104"/>
  <c r="AJ104" s="1"/>
  <c r="AH105"/>
  <c r="AG105"/>
  <c r="AF105"/>
  <c r="AE105"/>
  <c r="AD105"/>
  <c r="AC105"/>
  <c r="AC107" s="1"/>
  <c r="AB105"/>
  <c r="AA105"/>
  <c r="Z105"/>
  <c r="Y105"/>
  <c r="Y107"/>
  <c r="X105"/>
  <c r="W105"/>
  <c r="V105"/>
  <c r="V107" s="1"/>
  <c r="U105"/>
  <c r="T105"/>
  <c r="S105"/>
  <c r="R105"/>
  <c r="Q105"/>
  <c r="P105"/>
  <c r="O105"/>
  <c r="N105"/>
  <c r="M105"/>
  <c r="L105"/>
  <c r="K105"/>
  <c r="K107" s="1"/>
  <c r="J105"/>
  <c r="I105"/>
  <c r="H105"/>
  <c r="G105"/>
  <c r="F105"/>
  <c r="E105"/>
  <c r="AH90"/>
  <c r="AG90"/>
  <c r="AF90"/>
  <c r="AE90"/>
  <c r="AD90"/>
  <c r="AC90"/>
  <c r="AB90"/>
  <c r="AA90"/>
  <c r="Z90"/>
  <c r="Y90"/>
  <c r="X90"/>
  <c r="W90"/>
  <c r="V90"/>
  <c r="U90"/>
  <c r="T90"/>
  <c r="T92"/>
  <c r="S90"/>
  <c r="S92"/>
  <c r="R90"/>
  <c r="Q90"/>
  <c r="P90"/>
  <c r="O90"/>
  <c r="N90"/>
  <c r="M90"/>
  <c r="L90"/>
  <c r="K90"/>
  <c r="J90"/>
  <c r="I90"/>
  <c r="H90"/>
  <c r="H92" s="1"/>
  <c r="G90"/>
  <c r="F90"/>
  <c r="E90"/>
  <c r="AI89"/>
  <c r="AI88"/>
  <c r="AJ88" s="1"/>
  <c r="AJ90" s="1"/>
  <c r="AI71"/>
  <c r="AJ71" s="1"/>
  <c r="AI72"/>
  <c r="AJ72" s="1"/>
  <c r="AH73"/>
  <c r="AG73"/>
  <c r="AF73"/>
  <c r="AE73"/>
  <c r="AD73"/>
  <c r="AC73"/>
  <c r="AB73"/>
  <c r="AA73"/>
  <c r="Z73"/>
  <c r="Z75"/>
  <c r="Y73"/>
  <c r="Y75" s="1"/>
  <c r="X73"/>
  <c r="W73"/>
  <c r="V73"/>
  <c r="U73"/>
  <c r="T73"/>
  <c r="S73"/>
  <c r="R73"/>
  <c r="Q73"/>
  <c r="P73"/>
  <c r="O73"/>
  <c r="N73"/>
  <c r="N75" s="1"/>
  <c r="M73"/>
  <c r="M75" s="1"/>
  <c r="L73"/>
  <c r="L75" s="1"/>
  <c r="K73"/>
  <c r="K75" s="1"/>
  <c r="J73"/>
  <c r="I73"/>
  <c r="H73"/>
  <c r="G73"/>
  <c r="F73"/>
  <c r="E73"/>
  <c r="O13" i="5"/>
  <c r="O15" s="1"/>
  <c r="AH56" i="4"/>
  <c r="AI56" s="1"/>
  <c r="AH55"/>
  <c r="AJ39"/>
  <c r="AK39" s="1"/>
  <c r="AJ38"/>
  <c r="AG57"/>
  <c r="AF57"/>
  <c r="AE57"/>
  <c r="AD57"/>
  <c r="AC57"/>
  <c r="AB57"/>
  <c r="AA57"/>
  <c r="Z57"/>
  <c r="Y57"/>
  <c r="X57"/>
  <c r="W57"/>
  <c r="V57"/>
  <c r="U57"/>
  <c r="T57"/>
  <c r="S57"/>
  <c r="S59" s="1"/>
  <c r="R57"/>
  <c r="R59"/>
  <c r="Q57"/>
  <c r="P57"/>
  <c r="O57"/>
  <c r="N57"/>
  <c r="M57"/>
  <c r="M59" s="1"/>
  <c r="L57"/>
  <c r="L59" s="1"/>
  <c r="K57"/>
  <c r="J57"/>
  <c r="I57"/>
  <c r="H57"/>
  <c r="G57"/>
  <c r="F57"/>
  <c r="E57"/>
  <c r="D15" i="5"/>
  <c r="C15"/>
  <c r="N13"/>
  <c r="N15" s="1"/>
  <c r="M13"/>
  <c r="L13"/>
  <c r="K13"/>
  <c r="J13"/>
  <c r="I13"/>
  <c r="H13"/>
  <c r="G13"/>
  <c r="G15" s="1"/>
  <c r="F13"/>
  <c r="E13"/>
  <c r="E15" s="1"/>
  <c r="N8"/>
  <c r="F8"/>
  <c r="E8"/>
  <c r="M8"/>
  <c r="L8"/>
  <c r="K8"/>
  <c r="J8"/>
  <c r="I8"/>
  <c r="H8"/>
  <c r="G8"/>
  <c r="AI40" i="4"/>
  <c r="AH40"/>
  <c r="AG40"/>
  <c r="AF40"/>
  <c r="AE40"/>
  <c r="AD40"/>
  <c r="AC40"/>
  <c r="AB40"/>
  <c r="AA40"/>
  <c r="Z40"/>
  <c r="Z42" s="1"/>
  <c r="Y40"/>
  <c r="X40"/>
  <c r="W40"/>
  <c r="V40"/>
  <c r="U40"/>
  <c r="T40"/>
  <c r="S40"/>
  <c r="R40"/>
  <c r="Q40"/>
  <c r="P40"/>
  <c r="O40"/>
  <c r="N40"/>
  <c r="M40"/>
  <c r="L40"/>
  <c r="K40"/>
  <c r="G40"/>
  <c r="G42" s="1"/>
  <c r="F40"/>
  <c r="E40"/>
  <c r="AG20"/>
  <c r="AH20"/>
  <c r="AG19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J21"/>
  <c r="I21"/>
  <c r="H21"/>
  <c r="AG22" s="1"/>
  <c r="G21"/>
  <c r="F21"/>
  <c r="E21"/>
  <c r="AF21"/>
  <c r="AE21"/>
  <c r="AD21"/>
  <c r="AC21"/>
  <c r="AB21"/>
  <c r="AA21"/>
  <c r="Z21"/>
  <c r="Y21"/>
  <c r="X21"/>
  <c r="W21"/>
  <c r="V21"/>
  <c r="U21"/>
  <c r="U23"/>
  <c r="T21"/>
  <c r="S21"/>
  <c r="R21"/>
  <c r="Q21"/>
  <c r="P21"/>
  <c r="O21"/>
  <c r="N21"/>
  <c r="M21"/>
  <c r="L21"/>
  <c r="L23"/>
  <c r="K21"/>
  <c r="AG10"/>
  <c r="AH10"/>
  <c r="AG9"/>
  <c r="AH9" s="1"/>
  <c r="L15" i="5"/>
  <c r="K15"/>
  <c r="K568" i="4"/>
  <c r="Y584"/>
  <c r="U585"/>
  <c r="L600"/>
  <c r="Z432"/>
  <c r="AC470"/>
  <c r="AC617"/>
  <c r="O393"/>
  <c r="AI151"/>
  <c r="O552"/>
  <c r="O601"/>
  <c r="M538"/>
  <c r="M569"/>
  <c r="U453"/>
  <c r="AJ120"/>
  <c r="Y585"/>
  <c r="G393"/>
  <c r="Y569"/>
  <c r="N601"/>
  <c r="AH151"/>
  <c r="AJ198"/>
  <c r="H411"/>
  <c r="V453"/>
  <c r="K487"/>
  <c r="V504"/>
  <c r="AH522"/>
  <c r="R569"/>
  <c r="V569"/>
  <c r="F633"/>
  <c r="AK318"/>
  <c r="AH427"/>
  <c r="Y432"/>
  <c r="H470"/>
  <c r="AB487"/>
  <c r="O569"/>
  <c r="H601"/>
  <c r="E633"/>
  <c r="E453"/>
  <c r="AH470"/>
  <c r="F522"/>
  <c r="AJ89"/>
  <c r="T393"/>
  <c r="AH388"/>
  <c r="Z522"/>
  <c r="G601"/>
  <c r="L411"/>
  <c r="E522"/>
  <c r="AF538"/>
  <c r="R453"/>
  <c r="V522"/>
  <c r="AJ351"/>
  <c r="AC432"/>
  <c r="F453"/>
  <c r="L504"/>
  <c r="K538"/>
  <c r="G585"/>
  <c r="S393"/>
  <c r="AF453"/>
  <c r="H453"/>
  <c r="AA522"/>
  <c r="Z552"/>
  <c r="AI241"/>
  <c r="AF411"/>
  <c r="H585"/>
  <c r="AD261"/>
  <c r="K569"/>
  <c r="AK38"/>
  <c r="M15" i="5"/>
  <c r="AG470" i="4"/>
  <c r="AF552"/>
  <c r="F15" i="5"/>
  <c r="AJ103" i="4"/>
  <c r="R470"/>
  <c r="AI617"/>
  <c r="Z10" i="6" l="1"/>
  <c r="T261" i="4"/>
  <c r="T256"/>
  <c r="U227"/>
  <c r="AB261"/>
  <c r="M260"/>
  <c r="F15" i="7"/>
  <c r="E432" i="4"/>
  <c r="N470"/>
  <c r="T470"/>
  <c r="V487"/>
  <c r="AI522"/>
  <c r="AH499"/>
  <c r="R617"/>
  <c r="M689"/>
  <c r="F247"/>
  <c r="M393"/>
  <c r="AJ136"/>
  <c r="AI198"/>
  <c r="L10" i="6"/>
  <c r="L15" s="1"/>
  <c r="Y411" i="4"/>
  <c r="R432"/>
  <c r="V432"/>
  <c r="AB432"/>
  <c r="K453"/>
  <c r="K470"/>
  <c r="O470"/>
  <c r="U470"/>
  <c r="AI465"/>
  <c r="G487"/>
  <c r="L487"/>
  <c r="R487"/>
  <c r="T487"/>
  <c r="F504"/>
  <c r="K522"/>
  <c r="N522"/>
  <c r="AF522"/>
  <c r="F585"/>
  <c r="E585"/>
  <c r="N585"/>
  <c r="V601"/>
  <c r="M617"/>
  <c r="E662"/>
  <c r="K662"/>
  <c r="U662"/>
  <c r="Z647"/>
  <c r="L675"/>
  <c r="AJ40"/>
  <c r="AK482"/>
  <c r="AB504"/>
  <c r="F538"/>
  <c r="U569"/>
  <c r="Z585"/>
  <c r="L633"/>
  <c r="E647"/>
  <c r="AI90"/>
  <c r="AK40"/>
  <c r="G432"/>
  <c r="AI74"/>
  <c r="Z232"/>
  <c r="M259"/>
  <c r="U261"/>
  <c r="T411"/>
  <c r="AG411"/>
  <c r="AJ564"/>
  <c r="O585"/>
  <c r="AH580"/>
  <c r="E601"/>
  <c r="K601"/>
  <c r="T601"/>
  <c r="T633"/>
  <c r="Z633"/>
  <c r="AJ105"/>
  <c r="AI212"/>
  <c r="G15" i="7"/>
  <c r="AA256" i="4"/>
  <c r="AH212"/>
  <c r="AI406"/>
  <c r="R411"/>
  <c r="Y10" i="6"/>
  <c r="AF432" i="4"/>
  <c r="N453"/>
  <c r="AG453"/>
  <c r="T504"/>
  <c r="M522"/>
  <c r="L538"/>
  <c r="V538"/>
  <c r="AA538"/>
  <c r="Y552"/>
  <c r="AB552"/>
  <c r="F569"/>
  <c r="F601"/>
  <c r="U601"/>
  <c r="O617"/>
  <c r="U633"/>
  <c r="AA633"/>
  <c r="G662"/>
  <c r="AI272"/>
  <c r="AI273" s="1"/>
  <c r="AH261"/>
  <c r="U232"/>
  <c r="AJ255"/>
  <c r="AJ256" s="1"/>
  <c r="R256"/>
  <c r="Y256"/>
  <c r="AI256"/>
  <c r="S261"/>
  <c r="Y261"/>
  <c r="AH272"/>
  <c r="AH273" s="1"/>
  <c r="AB256"/>
  <c r="AB258" s="1"/>
  <c r="AG261"/>
  <c r="I10" i="6"/>
  <c r="I15" s="1"/>
  <c r="E10"/>
  <c r="B10"/>
  <c r="B15" s="1"/>
  <c r="J10"/>
  <c r="J15" s="1"/>
  <c r="N10"/>
  <c r="N15" s="1"/>
  <c r="K10"/>
  <c r="K15" s="1"/>
  <c r="T10"/>
  <c r="T15" s="1"/>
  <c r="AA232" i="4"/>
  <c r="AJ226"/>
  <c r="AJ227" s="1"/>
  <c r="V227"/>
  <c r="Y232"/>
  <c r="W232"/>
  <c r="F552"/>
  <c r="E569"/>
  <c r="AJ568"/>
  <c r="AG647"/>
  <c r="AA227"/>
  <c r="N259"/>
  <c r="AI261"/>
  <c r="AF470"/>
  <c r="AG487"/>
  <c r="E504"/>
  <c r="S538"/>
  <c r="AG538"/>
  <c r="M552"/>
  <c r="S552"/>
  <c r="V552"/>
  <c r="AB633"/>
  <c r="S647"/>
  <c r="AC646"/>
  <c r="AC647" s="1"/>
  <c r="AH675"/>
  <c r="AJ567"/>
  <c r="AJ569" s="1"/>
  <c r="I15" i="5"/>
  <c r="AI73" i="4"/>
  <c r="Z256"/>
  <c r="F277"/>
  <c r="F273"/>
  <c r="H15" i="7"/>
  <c r="I15"/>
  <c r="N411" i="4"/>
  <c r="Z411"/>
  <c r="F432"/>
  <c r="O522"/>
  <c r="U522"/>
  <c r="AG499"/>
  <c r="AK517"/>
  <c r="L601"/>
  <c r="AF617"/>
  <c r="H647"/>
  <c r="Y647"/>
  <c r="AK255"/>
  <c r="AK256" s="1"/>
  <c r="AA585"/>
  <c r="AH57"/>
  <c r="AI55"/>
  <c r="AI57" s="1"/>
  <c r="AJ73"/>
  <c r="AC261"/>
  <c r="AA411"/>
  <c r="AC538"/>
  <c r="F16" i="5"/>
  <c r="H15"/>
  <c r="AI226" i="4"/>
  <c r="AI227" s="1"/>
  <c r="AH19"/>
  <c r="AG21"/>
  <c r="AH21" s="1"/>
  <c r="AG11"/>
  <c r="AG335"/>
  <c r="AI388"/>
  <c r="U432"/>
  <c r="L453"/>
  <c r="Y453"/>
  <c r="AA453"/>
  <c r="K585"/>
  <c r="AA617"/>
  <c r="E277"/>
  <c r="O675"/>
  <c r="V675"/>
  <c r="J15" i="5"/>
  <c r="F10" i="6"/>
  <c r="F15" s="1"/>
  <c r="O10"/>
  <c r="O15" s="1"/>
  <c r="U689" i="4"/>
  <c r="Z689"/>
  <c r="W10" i="6"/>
  <c r="W15" s="1"/>
  <c r="G15"/>
  <c r="P15"/>
  <c r="S10"/>
  <c r="S15" s="1"/>
  <c r="X10"/>
  <c r="X15" s="1"/>
  <c r="V10"/>
  <c r="D10"/>
  <c r="D15" s="1"/>
  <c r="U10"/>
  <c r="U15" s="1"/>
  <c r="AB689" i="4"/>
  <c r="AA689"/>
  <c r="V689"/>
  <c r="Y689"/>
  <c r="T689"/>
  <c r="S689"/>
  <c r="R689"/>
  <c r="N689"/>
  <c r="K689"/>
  <c r="H689"/>
  <c r="G689"/>
  <c r="F689"/>
  <c r="E689"/>
  <c r="AG675"/>
  <c r="AF675"/>
  <c r="AC675"/>
  <c r="AA675"/>
  <c r="Z675"/>
  <c r="Y675"/>
  <c r="H10" i="6"/>
  <c r="H12" s="1"/>
  <c r="M10"/>
  <c r="M15" s="1"/>
  <c r="R10"/>
  <c r="R15" s="1"/>
  <c r="Q10"/>
  <c r="C15"/>
  <c r="U675" i="4"/>
  <c r="T675"/>
  <c r="S675"/>
  <c r="Z12" i="6" l="1"/>
  <c r="Y15"/>
  <c r="L12"/>
  <c r="N16" i="5"/>
  <c r="Q15" i="6"/>
  <c r="E12"/>
  <c r="Q12"/>
  <c r="E15"/>
  <c r="O12"/>
  <c r="K12"/>
  <c r="I12"/>
  <c r="P12"/>
  <c r="C12"/>
  <c r="J12"/>
  <c r="U12"/>
  <c r="G12"/>
  <c r="N12"/>
  <c r="T12"/>
  <c r="S12"/>
  <c r="M12"/>
  <c r="F12"/>
  <c r="R12"/>
  <c r="W12"/>
  <c r="Y12"/>
  <c r="V12"/>
  <c r="V15"/>
  <c r="X12"/>
  <c r="D12"/>
  <c r="H15"/>
</calcChain>
</file>

<file path=xl/comments1.xml><?xml version="1.0" encoding="utf-8"?>
<comments xmlns="http://schemas.openxmlformats.org/spreadsheetml/2006/main">
  <authors>
    <author>%USERNAME%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appears to be incorrect based on 3/31 and 4/4 cash balance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PeopleSoft Queries down due to upgrade
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PeopleSoft queries down due to updgrade
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PeopleSoft queries down due to upgrade</t>
        </r>
      </text>
    </comment>
    <comment ref="S7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PS Query wouldn't run, blank screen
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staff retreat
</t>
        </r>
      </text>
    </comment>
    <comment ref="A10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Holiday
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Bank Holiday
</t>
        </r>
      </text>
    </comment>
    <comment ref="A13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G13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holiday UF
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M14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bank closed 10/10/2011
</t>
        </r>
      </text>
    </comment>
    <comment ref="A15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K15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out of office, didn't run query from home</t>
        </r>
      </text>
    </comment>
    <comment ref="A16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O16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bank holiday
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UF Holiday
</t>
        </r>
      </text>
    </comment>
    <comment ref="O164" authorId="0">
      <text>
        <r>
          <rPr>
            <b/>
            <sz val="9"/>
            <color indexed="81"/>
            <rFont val="Tahoma"/>
            <family val="2"/>
          </rPr>
          <t xml:space="preserve">%USERNAME%:
</t>
        </r>
        <r>
          <rPr>
            <sz val="9"/>
            <color indexed="81"/>
            <rFont val="Tahoma"/>
            <family val="2"/>
          </rPr>
          <t>UF Holiday</t>
        </r>
      </text>
    </comment>
    <comment ref="AB16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UF/Bank Holiday
</t>
        </r>
      </text>
    </comment>
    <comment ref="AC16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UF Holiday
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holiday
</t>
        </r>
      </text>
    </comment>
    <comment ref="S19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Holiday
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holiday
</t>
        </r>
      </text>
    </comment>
    <comment ref="S19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Holiday
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V22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Value not capture; used previous days balance since 3.22.12 balance did not change materially
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25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25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31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31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33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33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34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34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V34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PeopleSoft was down
</t>
        </r>
      </text>
    </comment>
    <comment ref="M35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no change due to bank holiday 10/8/2012
</t>
        </r>
      </text>
    </comment>
    <comment ref="A37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37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38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38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40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40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42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42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44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44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46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46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47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48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49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49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1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1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3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3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4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4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6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6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7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7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593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59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0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1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2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2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3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4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5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5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6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6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8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8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69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69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71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71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724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72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A73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740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</commentList>
</comments>
</file>

<file path=xl/comments2.xml><?xml version="1.0" encoding="utf-8"?>
<comments xmlns="http://schemas.openxmlformats.org/spreadsheetml/2006/main">
  <authors>
    <author>%USERNAME%</author>
  </authors>
  <commentList>
    <comment ref="L5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This is a short month due to holidays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previous business day balance obtained from Wachovia online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KK balance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Includes $700K transfer in transit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Includes $600K transfer in transit</t>
        </r>
      </text>
    </comment>
    <comment ref="X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Includes $300K transfer in transit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Includes $350K transfer in transit</t>
        </r>
      </text>
    </comment>
    <comment ref="Z9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includes $350K transfer in transit
</t>
        </r>
      </text>
    </comment>
  </commentList>
</comments>
</file>

<file path=xl/comments3.xml><?xml version="1.0" encoding="utf-8"?>
<comments xmlns="http://schemas.openxmlformats.org/spreadsheetml/2006/main">
  <authors>
    <author>%USERNAME%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actual statement balance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GL Balance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Reconciled Bank Balance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GL Balance</t>
        </r>
      </text>
    </comment>
  </commentList>
</comments>
</file>

<file path=xl/comments4.xml><?xml version="1.0" encoding="utf-8"?>
<comments xmlns="http://schemas.openxmlformats.org/spreadsheetml/2006/main">
  <authors>
    <author>%USERNAME%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actual statement balance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GL Balance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wachovia reconciled balance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GL Balance</t>
        </r>
      </text>
    </comment>
  </commentList>
</comments>
</file>

<file path=xl/sharedStrings.xml><?xml version="1.0" encoding="utf-8"?>
<sst xmlns="http://schemas.openxmlformats.org/spreadsheetml/2006/main" count="2113" uniqueCount="204">
  <si>
    <t>Daily Flash Card</t>
  </si>
  <si>
    <t>Sat</t>
  </si>
  <si>
    <t>Sun</t>
  </si>
  <si>
    <t>Mon</t>
  </si>
  <si>
    <t>Tues</t>
  </si>
  <si>
    <t>Wed</t>
  </si>
  <si>
    <t>Fri</t>
  </si>
  <si>
    <t>MONTH</t>
  </si>
  <si>
    <t>YEAR</t>
  </si>
  <si>
    <t>Daily</t>
  </si>
  <si>
    <t>MTD</t>
  </si>
  <si>
    <t>Total</t>
  </si>
  <si>
    <t>Avg</t>
  </si>
  <si>
    <t xml:space="preserve">  </t>
  </si>
  <si>
    <t>JANUARY</t>
  </si>
  <si>
    <t>February</t>
  </si>
  <si>
    <t>College of Dentistry - Cash Totals</t>
  </si>
  <si>
    <t>Wachovia</t>
  </si>
  <si>
    <t>171 Funds Total</t>
  </si>
  <si>
    <t>Cash:</t>
  </si>
  <si>
    <t xml:space="preserve">  TOTAL</t>
  </si>
  <si>
    <t>Transfer in Transit</t>
  </si>
  <si>
    <t>Thurs</t>
  </si>
  <si>
    <t xml:space="preserve">Fri </t>
  </si>
  <si>
    <t>Month</t>
  </si>
  <si>
    <t>Year</t>
  </si>
  <si>
    <t>March</t>
  </si>
  <si>
    <t>Reconciled Cash/Wachovia</t>
  </si>
  <si>
    <t>Wachovia/MoEnd Statement</t>
  </si>
  <si>
    <t xml:space="preserve"> </t>
  </si>
  <si>
    <t>Change YTD FY'11</t>
  </si>
  <si>
    <t>Chg FY'06-FY'10</t>
  </si>
  <si>
    <t>COLLEGE OF DENTISTRY</t>
  </si>
  <si>
    <t>Cash Summary</t>
  </si>
  <si>
    <t>Change in Cash</t>
  </si>
  <si>
    <t>per Audit</t>
  </si>
  <si>
    <t>171 Funds Total (per KK balance)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</si>
  <si>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</si>
  <si>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</si>
  <si>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</si>
  <si>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</si>
  <si>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</si>
  <si>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</si>
  <si>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</si>
  <si>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</si>
  <si>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</si>
  <si>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</si>
  <si>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Wells Fargo</t>
  </si>
  <si>
    <t>Daily Collections</t>
  </si>
  <si>
    <t>Daily Spending</t>
  </si>
  <si>
    <t>Payroll</t>
  </si>
  <si>
    <t>Why?</t>
  </si>
  <si>
    <t>Contract Deposit $70k</t>
  </si>
  <si>
    <t>Payroll INCREASE RE: SHIFT FROM STATE = $46K</t>
  </si>
  <si>
    <t>Impact of 3% Raise = $5,171 per pay period</t>
  </si>
  <si>
    <t>(Based on AEF Comp of $2.7M YTD 2.29.12 or $172k per pay period)</t>
  </si>
  <si>
    <t>payroll / reasonable re: increase due to shift from state = $41k</t>
  </si>
  <si>
    <t>post transfer</t>
  </si>
  <si>
    <t>Net Collections</t>
  </si>
  <si>
    <t>GME</t>
  </si>
  <si>
    <t>Medicaid Amazing =$82,846!</t>
  </si>
  <si>
    <t>Thur</t>
  </si>
  <si>
    <t>payroll processes</t>
  </si>
  <si>
    <t>DOH deposit</t>
  </si>
  <si>
    <t>HUMA/ING</t>
  </si>
  <si>
    <t>Payment</t>
  </si>
  <si>
    <t>Tach deposit</t>
  </si>
  <si>
    <t>FSDB deposit</t>
  </si>
  <si>
    <t>Transfer Request per Jodi</t>
  </si>
  <si>
    <t>what was spent?</t>
  </si>
  <si>
    <t>JE for construction</t>
  </si>
  <si>
    <t>$133k Clinic 1A</t>
  </si>
  <si>
    <t xml:space="preserve">NOTE: conf call 4.20.12 </t>
  </si>
  <si>
    <t>transfer made to construction acctg</t>
  </si>
  <si>
    <t>payroll fringes</t>
  </si>
  <si>
    <t>payroll</t>
  </si>
  <si>
    <t xml:space="preserve">GME Rec'd 5.16.17 </t>
  </si>
  <si>
    <t>Deposit will reflect 5.17.</t>
  </si>
  <si>
    <t>DOH Received</t>
  </si>
  <si>
    <t>HOLIDAY</t>
  </si>
  <si>
    <t>payroll+ Humana</t>
  </si>
  <si>
    <t>Rec'ed $100k payment +</t>
  </si>
  <si>
    <t>ING invoice = $72k</t>
  </si>
  <si>
    <t>$56k from Choices</t>
  </si>
  <si>
    <t>Cash Exp Refund</t>
  </si>
  <si>
    <t>RE: Humana / ING</t>
  </si>
  <si>
    <t xml:space="preserve">% Returned from </t>
  </si>
  <si>
    <t>Employee= $63k</t>
  </si>
  <si>
    <t>GME O/S</t>
  </si>
  <si>
    <t>State Relief</t>
  </si>
  <si>
    <t>Cash Exp Needs</t>
  </si>
  <si>
    <t>Total Forecast $</t>
  </si>
  <si>
    <t>Net Forecast Positive</t>
  </si>
  <si>
    <t>GME/Wachovia trsf</t>
  </si>
  <si>
    <t>Pride-Lobby Furniture</t>
  </si>
  <si>
    <t>SantaFe contract</t>
  </si>
  <si>
    <t>Tacachale</t>
  </si>
  <si>
    <t>Tacachale AfterHrs</t>
  </si>
  <si>
    <t>UF Benefits</t>
  </si>
  <si>
    <t>Expected expenditure</t>
  </si>
  <si>
    <t>RCM Overhead</t>
  </si>
  <si>
    <t>Acorn</t>
  </si>
  <si>
    <t>RDS</t>
  </si>
  <si>
    <t>Pathology</t>
  </si>
  <si>
    <t>Clinic Admin</t>
  </si>
  <si>
    <t>balance other depts</t>
  </si>
  <si>
    <t>Anticipated PeopleSoft Deposits prior to 6/29/2012</t>
  </si>
  <si>
    <t>6/27/2012 expenses(55,223)</t>
  </si>
  <si>
    <t>posted 6/28</t>
  </si>
  <si>
    <t>posted 6/29</t>
  </si>
  <si>
    <t>Holiday</t>
  </si>
  <si>
    <t>parking invoice</t>
  </si>
  <si>
    <t>Humana/ING benefits</t>
  </si>
  <si>
    <t>Path Var Comp</t>
  </si>
  <si>
    <t>Rad Var Comp</t>
  </si>
  <si>
    <t>ODS Var Comp</t>
  </si>
  <si>
    <t>payroll/approx</t>
  </si>
  <si>
    <t>Rec'd/InTransit</t>
  </si>
  <si>
    <t>GME/SantaFe</t>
  </si>
  <si>
    <t>FSDB</t>
  </si>
  <si>
    <t>BOA Deposit 50,000</t>
  </si>
  <si>
    <t>Insurance: Humana/ING</t>
  </si>
  <si>
    <t xml:space="preserve">   Total Cash</t>
  </si>
  <si>
    <t xml:space="preserve">  Total Cash including Transfer in Transit</t>
  </si>
  <si>
    <t>GME received 8.15.12 $260,301.33</t>
  </si>
  <si>
    <t>CHOICES rec 8.15.12 $8,523.12</t>
  </si>
  <si>
    <t>Schein rec 8.15.12 $563.67</t>
  </si>
  <si>
    <t>Trsf in Transit:</t>
  </si>
  <si>
    <t>Total:</t>
  </si>
  <si>
    <t xml:space="preserve"> student clinics: </t>
  </si>
  <si>
    <t>RCM</t>
  </si>
  <si>
    <t>*Dora and Jodi both out so cash query was not run</t>
  </si>
  <si>
    <t>*Payroll</t>
  </si>
  <si>
    <t>*Humana/ING</t>
  </si>
  <si>
    <t>*payroll</t>
  </si>
  <si>
    <t>UF Benefits ck</t>
  </si>
  <si>
    <t>SFCC ck</t>
  </si>
  <si>
    <t>BOA</t>
  </si>
  <si>
    <t>*RCM posted</t>
  </si>
  <si>
    <t>* Humana Insuance</t>
  </si>
  <si>
    <t>Benefits</t>
  </si>
  <si>
    <t>Teams</t>
  </si>
  <si>
    <t>CBP</t>
  </si>
  <si>
    <t>Grad Prosth</t>
  </si>
  <si>
    <t>Tacachale Aftr Hrs</t>
  </si>
  <si>
    <t>Oral Surgery</t>
  </si>
  <si>
    <t>Dean's Office</t>
  </si>
  <si>
    <t>*Humana  51,687</t>
  </si>
  <si>
    <t>*Ing 24,105</t>
  </si>
  <si>
    <t>Tacachale after Hrs</t>
  </si>
  <si>
    <t>FSDB-$6750</t>
  </si>
  <si>
    <t>**payroll</t>
  </si>
  <si>
    <t>** payroll</t>
  </si>
  <si>
    <t>DOH: $213,570</t>
  </si>
  <si>
    <t xml:space="preserve">**Humana </t>
  </si>
  <si>
    <t>**ING</t>
  </si>
  <si>
    <t>**Payroll</t>
  </si>
  <si>
    <t>CBP: 53,032</t>
  </si>
  <si>
    <t>Team: 36,868</t>
  </si>
  <si>
    <t>Implant: 10,490</t>
  </si>
  <si>
    <t xml:space="preserve">   Daily Net</t>
  </si>
  <si>
    <t>Spending by:</t>
  </si>
  <si>
    <t>Dora/Jodi Out</t>
  </si>
  <si>
    <t xml:space="preserve">Cash Balance </t>
  </si>
  <si>
    <t>** CBP moved Hialeah expenses to fund 143</t>
  </si>
  <si>
    <t>** Tacachale</t>
  </si>
  <si>
    <t>**GME</t>
  </si>
  <si>
    <t>** SantaFe</t>
  </si>
  <si>
    <t>**UF Benefit Cks</t>
  </si>
  <si>
    <t>** Saudi/Path</t>
  </si>
  <si>
    <t>** Santa FE</t>
  </si>
  <si>
    <t>*GME</t>
  </si>
  <si>
    <t>*2/18 was bank holiday</t>
  </si>
  <si>
    <t>**Humana</t>
  </si>
  <si>
    <t>**DMD</t>
  </si>
  <si>
    <t>Pros</t>
  </si>
  <si>
    <t>Perio</t>
  </si>
  <si>
    <t>OS</t>
  </si>
  <si>
    <t>ODS</t>
  </si>
  <si>
    <t xml:space="preserve">* DOH Funding </t>
  </si>
  <si>
    <t>**Henry Schein</t>
  </si>
  <si>
    <t>*UF Benefits</t>
  </si>
  <si>
    <t>*DOH</t>
  </si>
  <si>
    <t xml:space="preserve">** IT AHC </t>
  </si>
  <si>
    <t>** Payroll</t>
  </si>
  <si>
    <t>** Humana</t>
  </si>
  <si>
    <t xml:space="preserve">**Parking </t>
  </si>
  <si>
    <t>* Collier Health</t>
  </si>
  <si>
    <t>*UFICO Pymt</t>
  </si>
  <si>
    <t>**midmark</t>
  </si>
  <si>
    <t>**Kavo</t>
  </si>
  <si>
    <t>**RCM X 2 mos</t>
  </si>
  <si>
    <t>** GME</t>
  </si>
  <si>
    <t>10/14 was bank holiday</t>
  </si>
  <si>
    <t>UF Holiday</t>
  </si>
  <si>
    <t>** Humana stop loss</t>
  </si>
  <si>
    <t>payroll retros</t>
  </si>
  <si>
    <t>Trsf to FDTN/CBP/Tomar</t>
  </si>
  <si>
    <t>** DOH/GME</t>
  </si>
  <si>
    <t>Payroll/Research Bonus/variable comp</t>
  </si>
  <si>
    <t>GME/Payroll</t>
  </si>
  <si>
    <t>Endo Retros/credit</t>
  </si>
  <si>
    <t>Hialeah Retros/charge</t>
  </si>
  <si>
    <t>naples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</si>
</sst>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0.00_);[Red]\(0.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Geneva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116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0" fillId="2" borderId="0" xfId="0" applyFill="1"/>
    <xf numFmtId="17" fontId="2" fillId="2" borderId="0" xfId="0" applyNumberFormat="1" applyFont="1" applyFill="1"/>
    <xf numFmtId="164" fontId="0" fillId="0" borderId="0" xfId="1" applyNumberFormat="1" applyFont="1"/>
    <xf numFmtId="0" fontId="2" fillId="0" borderId="0" xfId="0" applyFont="1" applyFill="1"/>
    <xf numFmtId="164" fontId="0" fillId="0" borderId="5" xfId="1" applyNumberFormat="1" applyFont="1" applyBorder="1"/>
    <xf numFmtId="8" fontId="0" fillId="0" borderId="0" xfId="0" applyNumberFormat="1"/>
    <xf numFmtId="8" fontId="0" fillId="0" borderId="0" xfId="1" applyNumberFormat="1" applyFont="1"/>
    <xf numFmtId="8" fontId="4" fillId="0" borderId="0" xfId="0" applyNumberFormat="1" applyFont="1"/>
    <xf numFmtId="8" fontId="0" fillId="0" borderId="5" xfId="1" applyNumberFormat="1" applyFont="1" applyBorder="1"/>
    <xf numFmtId="8" fontId="0" fillId="0" borderId="6" xfId="0" applyNumberFormat="1" applyBorder="1"/>
    <xf numFmtId="8" fontId="0" fillId="0" borderId="5" xfId="0" applyNumberFormat="1" applyBorder="1"/>
    <xf numFmtId="0" fontId="2" fillId="0" borderId="0" xfId="0" applyFont="1"/>
    <xf numFmtId="8" fontId="0" fillId="0" borderId="1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7" xfId="0" applyNumberFormat="1" applyBorder="1"/>
    <xf numFmtId="8" fontId="0" fillId="0" borderId="1" xfId="0" applyNumberFormat="1" applyBorder="1"/>
    <xf numFmtId="8" fontId="0" fillId="0" borderId="0" xfId="0" applyNumberFormat="1" applyFill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1" xfId="0" applyNumberFormat="1" applyFill="1" applyBorder="1" applyAlignment="1">
      <alignment horizontal="center"/>
    </xf>
    <xf numFmtId="8" fontId="7" fillId="0" borderId="0" xfId="0" applyNumberFormat="1" applyFont="1"/>
    <xf numFmtId="8" fontId="8" fillId="0" borderId="0" xfId="0" applyNumberFormat="1" applyFont="1"/>
    <xf numFmtId="8" fontId="7" fillId="0" borderId="6" xfId="0" applyNumberFormat="1" applyFont="1" applyBorder="1"/>
    <xf numFmtId="164" fontId="7" fillId="0" borderId="0" xfId="1" applyNumberFormat="1" applyFont="1"/>
    <xf numFmtId="164" fontId="6" fillId="0" borderId="0" xfId="1" applyNumberFormat="1" applyFont="1" applyBorder="1"/>
    <xf numFmtId="164" fontId="7" fillId="0" borderId="6" xfId="1" applyNumberFormat="1" applyFont="1" applyBorder="1"/>
    <xf numFmtId="164" fontId="7" fillId="0" borderId="5" xfId="1" applyNumberFormat="1" applyFont="1" applyBorder="1"/>
    <xf numFmtId="0" fontId="7" fillId="0" borderId="0" xfId="0" applyFont="1"/>
    <xf numFmtId="14" fontId="13" fillId="0" borderId="1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164" fontId="12" fillId="2" borderId="8" xfId="1" applyNumberFormat="1" applyFont="1" applyFill="1" applyBorder="1"/>
    <xf numFmtId="164" fontId="7" fillId="2" borderId="9" xfId="1" applyNumberFormat="1" applyFont="1" applyFill="1" applyBorder="1"/>
    <xf numFmtId="164" fontId="11" fillId="2" borderId="9" xfId="1" applyNumberFormat="1" applyFont="1" applyFill="1" applyBorder="1"/>
    <xf numFmtId="38" fontId="7" fillId="0" borderId="0" xfId="0" applyNumberFormat="1" applyFont="1"/>
    <xf numFmtId="38" fontId="7" fillId="0" borderId="0" xfId="1" applyNumberFormat="1" applyFont="1" applyFill="1" applyBorder="1"/>
    <xf numFmtId="38" fontId="0" fillId="0" borderId="0" xfId="0" applyNumberFormat="1"/>
    <xf numFmtId="38" fontId="2" fillId="0" borderId="1" xfId="0" applyNumberFormat="1" applyFont="1" applyBorder="1" applyAlignment="1">
      <alignment horizontal="center"/>
    </xf>
    <xf numFmtId="38" fontId="0" fillId="0" borderId="1" xfId="0" applyNumberFormat="1" applyFont="1" applyBorder="1" applyAlignment="1">
      <alignment horizontal="center"/>
    </xf>
    <xf numFmtId="8" fontId="0" fillId="0" borderId="0" xfId="0" applyNumberFormat="1" applyFont="1"/>
    <xf numFmtId="8" fontId="0" fillId="0" borderId="6" xfId="0" applyNumberFormat="1" applyBorder="1" applyAlignment="1">
      <alignment horizontal="center"/>
    </xf>
    <xf numFmtId="8" fontId="0" fillId="0" borderId="0" xfId="0" applyNumberFormat="1" applyBorder="1"/>
    <xf numFmtId="43" fontId="0" fillId="0" borderId="6" xfId="0" applyNumberFormat="1" applyBorder="1"/>
    <xf numFmtId="8" fontId="0" fillId="0" borderId="5" xfId="1" applyNumberFormat="1" applyFont="1" applyFill="1" applyBorder="1"/>
    <xf numFmtId="8" fontId="0" fillId="2" borderId="5" xfId="0" applyNumberFormat="1" applyFill="1" applyBorder="1"/>
    <xf numFmtId="8" fontId="0" fillId="0" borderId="5" xfId="0" applyNumberFormat="1" applyFill="1" applyBorder="1"/>
    <xf numFmtId="8" fontId="0" fillId="0" borderId="5" xfId="0" applyNumberFormat="1" applyFont="1" applyFill="1" applyBorder="1"/>
    <xf numFmtId="8" fontId="0" fillId="0" borderId="0" xfId="0" applyNumberFormat="1" applyFill="1"/>
    <xf numFmtId="43" fontId="0" fillId="0" borderId="0" xfId="0" applyNumberFormat="1"/>
    <xf numFmtId="40" fontId="0" fillId="0" borderId="0" xfId="0" applyNumberFormat="1"/>
    <xf numFmtId="8" fontId="11" fillId="0" borderId="0" xfId="0" applyNumberFormat="1" applyFont="1" applyAlignment="1">
      <alignment horizontal="center"/>
    </xf>
    <xf numFmtId="8" fontId="15" fillId="2" borderId="0" xfId="0" applyNumberFormat="1" applyFont="1" applyFill="1"/>
    <xf numFmtId="8" fontId="2" fillId="2" borderId="0" xfId="0" applyNumberFormat="1" applyFont="1" applyFill="1"/>
    <xf numFmtId="8" fontId="2" fillId="2" borderId="0" xfId="0" applyNumberFormat="1" applyFont="1" applyFill="1" applyAlignment="1">
      <alignment horizontal="center"/>
    </xf>
    <xf numFmtId="8" fontId="16" fillId="0" borderId="0" xfId="0" applyNumberFormat="1" applyFont="1" applyAlignment="1">
      <alignment horizontal="center"/>
    </xf>
    <xf numFmtId="8" fontId="11" fillId="2" borderId="0" xfId="0" applyNumberFormat="1" applyFont="1" applyFill="1" applyAlignment="1">
      <alignment horizontal="center"/>
    </xf>
    <xf numFmtId="8" fontId="0" fillId="2" borderId="0" xfId="0" applyNumberFormat="1" applyFill="1"/>
    <xf numFmtId="8" fontId="2" fillId="0" borderId="10" xfId="0" applyNumberFormat="1" applyFont="1" applyBorder="1"/>
    <xf numFmtId="8" fontId="2" fillId="2" borderId="5" xfId="0" applyNumberFormat="1" applyFont="1" applyFill="1" applyBorder="1"/>
    <xf numFmtId="0" fontId="17" fillId="0" borderId="0" xfId="0" applyFont="1"/>
    <xf numFmtId="8" fontId="16" fillId="0" borderId="0" xfId="0" applyNumberFormat="1" applyFont="1"/>
    <xf numFmtId="8" fontId="16" fillId="2" borderId="0" xfId="0" applyNumberFormat="1" applyFont="1" applyFill="1"/>
    <xf numFmtId="8" fontId="11" fillId="3" borderId="0" xfId="0" applyNumberFormat="1" applyFont="1" applyFill="1" applyAlignment="1">
      <alignment horizontal="center"/>
    </xf>
    <xf numFmtId="43" fontId="2" fillId="3" borderId="0" xfId="0" applyNumberFormat="1" applyFont="1" applyFill="1" applyAlignment="1">
      <alignment horizontal="center"/>
    </xf>
    <xf numFmtId="8" fontId="2" fillId="3" borderId="0" xfId="0" applyNumberFormat="1" applyFont="1" applyFill="1" applyAlignment="1">
      <alignment horizontal="center"/>
    </xf>
    <xf numFmtId="8" fontId="16" fillId="3" borderId="0" xfId="0" applyNumberFormat="1" applyFont="1" applyFill="1"/>
    <xf numFmtId="8" fontId="0" fillId="3" borderId="0" xfId="0" applyNumberFormat="1" applyFill="1"/>
    <xf numFmtId="43" fontId="0" fillId="3" borderId="0" xfId="0" applyNumberFormat="1" applyFill="1"/>
    <xf numFmtId="8" fontId="0" fillId="0" borderId="11" xfId="0" applyNumberFormat="1" applyBorder="1"/>
    <xf numFmtId="8" fontId="0" fillId="0" borderId="12" xfId="0" applyNumberFormat="1" applyBorder="1"/>
    <xf numFmtId="6" fontId="16" fillId="4" borderId="12" xfId="0" applyNumberFormat="1" applyFont="1" applyFill="1" applyBorder="1" applyAlignment="1">
      <alignment horizontal="right"/>
    </xf>
    <xf numFmtId="8" fontId="16" fillId="0" borderId="12" xfId="0" applyNumberFormat="1" applyFont="1" applyBorder="1" applyAlignment="1">
      <alignment horizontal="center"/>
    </xf>
    <xf numFmtId="6" fontId="11" fillId="0" borderId="12" xfId="0" applyNumberFormat="1" applyFont="1" applyBorder="1"/>
    <xf numFmtId="8" fontId="11" fillId="0" borderId="12" xfId="0" applyNumberFormat="1" applyFont="1" applyBorder="1"/>
    <xf numFmtId="6" fontId="11" fillId="4" borderId="12" xfId="0" applyNumberFormat="1" applyFont="1" applyFill="1" applyBorder="1"/>
    <xf numFmtId="8" fontId="0" fillId="0" borderId="13" xfId="0" applyNumberFormat="1" applyBorder="1"/>
    <xf numFmtId="4" fontId="0" fillId="0" borderId="0" xfId="0" applyNumberFormat="1" applyAlignment="1">
      <alignment horizontal="right"/>
    </xf>
    <xf numFmtId="44" fontId="0" fillId="0" borderId="0" xfId="2" applyFont="1" applyAlignment="1">
      <alignment horizontal="right"/>
    </xf>
    <xf numFmtId="4" fontId="0" fillId="0" borderId="0" xfId="0" applyNumberFormat="1" applyFill="1" applyAlignment="1">
      <alignment horizontal="right"/>
    </xf>
    <xf numFmtId="14" fontId="0" fillId="0" borderId="0" xfId="0" applyNumberFormat="1"/>
    <xf numFmtId="44" fontId="0" fillId="0" borderId="0" xfId="2" applyFont="1"/>
    <xf numFmtId="44" fontId="0" fillId="0" borderId="0" xfId="2" applyFont="1" applyFill="1" applyAlignment="1">
      <alignment horizontal="right"/>
    </xf>
    <xf numFmtId="44" fontId="0" fillId="0" borderId="0" xfId="0" applyNumberFormat="1"/>
    <xf numFmtId="165" fontId="0" fillId="0" borderId="0" xfId="0" applyNumberFormat="1"/>
    <xf numFmtId="4" fontId="0" fillId="0" borderId="0" xfId="0" applyNumberFormat="1"/>
    <xf numFmtId="8" fontId="0" fillId="0" borderId="14" xfId="0" applyNumberFormat="1" applyBorder="1"/>
    <xf numFmtId="8" fontId="0" fillId="0" borderId="0" xfId="2" applyNumberFormat="1" applyFont="1"/>
    <xf numFmtId="166" fontId="0" fillId="0" borderId="0" xfId="0" applyNumberFormat="1"/>
    <xf numFmtId="8" fontId="0" fillId="0" borderId="7" xfId="0" applyNumberFormat="1" applyBorder="1" applyAlignment="1">
      <alignment horizontal="center"/>
    </xf>
    <xf numFmtId="43" fontId="7" fillId="0" borderId="0" xfId="2" applyNumberFormat="1" applyFont="1"/>
    <xf numFmtId="44" fontId="0" fillId="0" borderId="5" xfId="0" applyNumberFormat="1" applyBorder="1"/>
    <xf numFmtId="44" fontId="0" fillId="0" borderId="6" xfId="2" applyFont="1" applyBorder="1"/>
    <xf numFmtId="12" fontId="0" fillId="0" borderId="0" xfId="0" applyNumberFormat="1"/>
    <xf numFmtId="44" fontId="0" fillId="0" borderId="6" xfId="0" applyNumberFormat="1" applyBorder="1"/>
    <xf numFmtId="43" fontId="7" fillId="0" borderId="0" xfId="1" applyFont="1"/>
    <xf numFmtId="6" fontId="18" fillId="0" borderId="0" xfId="0" applyNumberFormat="1" applyFont="1"/>
    <xf numFmtId="44" fontId="19" fillId="0" borderId="0" xfId="2" applyFont="1"/>
    <xf numFmtId="8" fontId="11" fillId="0" borderId="0" xfId="0" applyNumberFormat="1" applyFont="1"/>
    <xf numFmtId="4" fontId="0" fillId="0" borderId="6" xfId="0" applyNumberFormat="1" applyBorder="1" applyAlignment="1">
      <alignment horizontal="right"/>
    </xf>
    <xf numFmtId="8" fontId="11" fillId="0" borderId="0" xfId="0" applyNumberFormat="1" applyFont="1" applyAlignment="1">
      <alignment wrapText="1"/>
    </xf>
    <xf numFmtId="44" fontId="21" fillId="0" borderId="0" xfId="2" applyFont="1" applyAlignment="1">
      <alignment horizontal="right"/>
    </xf>
    <xf numFmtId="40" fontId="0" fillId="0" borderId="6" xfId="0" applyNumberFormat="1" applyBorder="1"/>
    <xf numFmtId="8" fontId="0" fillId="0" borderId="0" xfId="0" applyNumberFormat="1" applyAlignment="1">
      <alignment horizontal="right"/>
    </xf>
    <xf numFmtId="8" fontId="0" fillId="0" borderId="0" xfId="2" applyNumberFormat="1" applyFont="1" applyAlignment="1">
      <alignment horizontal="right"/>
    </xf>
    <xf numFmtId="38" fontId="0" fillId="0" borderId="1" xfId="0" applyNumberFormat="1" applyBorder="1"/>
    <xf numFmtId="8" fontId="0" fillId="0" borderId="14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satzd\AppData\Local\Microsoft\Windows\Temporary%20Internet%20Files\Content.Outlook\Z42QMOFI\Daily%20Cash%20Query_3%2019%202012%20to%203%2023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satzd\AppData\Local\Microsoft\Windows\Temporary%20Internet%20Files\Content.Outlook\Z42QMOFI\Daily%20Cash%20Query_5%2014%202012%20to%205%2018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eiger\AppData\Local\Microsoft\Windows\Temporary%20Internet%20Files\Content.Outlook\4FZZKOL1\Copy%20of%20Daily%20Cash%20Query_5%2021%202012%20to%205%2025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eiger\AppData\Local\Microsoft\Windows\Temporary%20Internet%20Files\Content.Outlook\4FZZKOL1\Copy%20of%20Daily%20Cash%20Query_5%2029%202012%20to%206%201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s\Summary%20of%20Billing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2012\2006-12%20Resident%20Stipend%20%20Benefit%20Costs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satzd\AppData\Local\Microsoft\Windows\Temporary%20Internet%20Files\Content.Outlook\Z42QMOFI\Daily%20Cash%20Query_6%204%202012%20to%206%208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19.2012"/>
      <sheetName val="03.21.2012"/>
      <sheetName val="03.22.2012"/>
      <sheetName val="03.23.2012"/>
    </sheetNames>
    <sheetDataSet>
      <sheetData sheetId="0">
        <row r="102">
          <cell r="J102">
            <v>244736.9200000003</v>
          </cell>
        </row>
      </sheetData>
      <sheetData sheetId="1">
        <row r="102">
          <cell r="J102">
            <v>245881.27000000028</v>
          </cell>
        </row>
      </sheetData>
      <sheetData sheetId="2">
        <row r="102">
          <cell r="J102">
            <v>235942.15000000023</v>
          </cell>
        </row>
      </sheetData>
      <sheetData sheetId="3">
        <row r="103">
          <cell r="J103">
            <v>224732.73000000021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4.2012"/>
      <sheetName val="5.15.2012"/>
      <sheetName val="5.16.201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21.2012"/>
      <sheetName val="5.22.2012"/>
      <sheetName val="5.23.2012"/>
      <sheetName val="5.24.2012"/>
      <sheetName val="5.25.2012"/>
    </sheetNames>
    <sheetDataSet>
      <sheetData sheetId="0">
        <row r="104">
          <cell r="J104">
            <v>495036.70000000024</v>
          </cell>
        </row>
      </sheetData>
      <sheetData sheetId="1">
        <row r="105">
          <cell r="J105">
            <v>510119.17000000057</v>
          </cell>
        </row>
      </sheetData>
      <sheetData sheetId="2">
        <row r="104">
          <cell r="J104">
            <v>461895.93000000052</v>
          </cell>
        </row>
      </sheetData>
      <sheetData sheetId="3">
        <row r="105">
          <cell r="J105">
            <v>451413.17000000051</v>
          </cell>
        </row>
      </sheetData>
      <sheetData sheetId="4">
        <row r="104">
          <cell r="J104">
            <v>860073.66000000027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9.2012"/>
      <sheetName val="5.30.2012"/>
      <sheetName val="5.31.2012"/>
      <sheetName val="6.1.2012"/>
    </sheetNames>
    <sheetDataSet>
      <sheetData sheetId="0">
        <row r="104">
          <cell r="J104">
            <v>110971.84000000003</v>
          </cell>
        </row>
      </sheetData>
      <sheetData sheetId="1">
        <row r="104">
          <cell r="J104">
            <v>70719.130000000063</v>
          </cell>
        </row>
      </sheetData>
      <sheetData sheetId="2">
        <row r="104">
          <cell r="J104">
            <v>81951.460000000094</v>
          </cell>
        </row>
      </sheetData>
      <sheetData sheetId="3">
        <row r="104">
          <cell r="J104">
            <v>120604.54999999978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5">
          <cell r="I75">
            <v>164169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6-07"/>
      <sheetName val="2008-09"/>
      <sheetName val="2009-10"/>
      <sheetName val="2010-11"/>
      <sheetName val="2011-12"/>
    </sheetNames>
    <sheetDataSet>
      <sheetData sheetId="0"/>
      <sheetData sheetId="1"/>
      <sheetData sheetId="2"/>
      <sheetData sheetId="3"/>
      <sheetData sheetId="4">
        <row r="122">
          <cell r="G122">
            <v>254550.10629133336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4.2012"/>
      <sheetName val="6.5.2012"/>
    </sheetNames>
    <sheetDataSet>
      <sheetData sheetId="0">
        <row r="104">
          <cell r="J104">
            <v>90975.649999999718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50"/>
  <sheetViews>
    <sheetView tabSelected="1" topLeftCell="B720" workbookViewId="0">
      <selection activeCell="K742" sqref="K742:AI742"/>
    </sheetView>
  </sheetViews>
  <sheetFormatPr defaultRowHeight="15"/>
  <cols>
    <col min="1" max="1" width="21.140625" customWidth="1"/>
    <col min="2" max="2" width="7.7109375" customWidth="1"/>
    <col min="3" max="3" width="5.5703125" customWidth="1"/>
    <col min="4" max="4" width="4.7109375" customWidth="1"/>
    <col min="5" max="5" width="14.28515625" style="12" bestFit="1" customWidth="1"/>
    <col min="6" max="6" width="14.28515625" style="12" customWidth="1"/>
    <col min="7" max="7" width="14.5703125" style="12" bestFit="1" customWidth="1"/>
    <col min="8" max="8" width="14.28515625" style="12" customWidth="1"/>
    <col min="9" max="10" width="0" style="12" hidden="1" customWidth="1"/>
    <col min="11" max="11" width="14.5703125" style="12" bestFit="1" customWidth="1"/>
    <col min="12" max="12" width="14.28515625" style="12" bestFit="1" customWidth="1"/>
    <col min="13" max="15" width="13.85546875" style="12" customWidth="1"/>
    <col min="16" max="17" width="0" style="12" hidden="1" customWidth="1"/>
    <col min="18" max="18" width="16.5703125" style="12" customWidth="1"/>
    <col min="19" max="19" width="14.28515625" style="12" bestFit="1" customWidth="1"/>
    <col min="20" max="20" width="15.85546875" style="12" bestFit="1" customWidth="1"/>
    <col min="21" max="21" width="14.42578125" style="12" customWidth="1"/>
    <col min="22" max="22" width="14" style="12" customWidth="1"/>
    <col min="23" max="23" width="9.28515625" style="12" hidden="1" customWidth="1"/>
    <col min="24" max="24" width="0.85546875" style="12" hidden="1" customWidth="1"/>
    <col min="25" max="25" width="14.28515625" style="12" customWidth="1"/>
    <col min="26" max="26" width="14" style="12" customWidth="1"/>
    <col min="27" max="27" width="14.42578125" style="12" customWidth="1"/>
    <col min="28" max="28" width="14.5703125" style="12" customWidth="1"/>
    <col min="29" max="29" width="13.85546875" style="12" customWidth="1"/>
    <col min="30" max="31" width="9.28515625" style="12" hidden="1" customWidth="1"/>
    <col min="32" max="32" width="15.42578125" style="12" customWidth="1"/>
    <col min="33" max="33" width="16.28515625" style="12" customWidth="1"/>
    <col min="34" max="34" width="15.28515625" style="12" customWidth="1"/>
    <col min="35" max="35" width="16.42578125" style="12" customWidth="1"/>
    <col min="36" max="36" width="15.28515625" style="12" bestFit="1" customWidth="1"/>
    <col min="37" max="37" width="14.5703125" style="12" bestFit="1" customWidth="1"/>
    <col min="38" max="38" width="13.5703125" bestFit="1" customWidth="1"/>
  </cols>
  <sheetData>
    <row r="1" spans="1:34" ht="18.75">
      <c r="A1" s="1" t="s">
        <v>0</v>
      </c>
    </row>
    <row r="2" spans="1:34" hidden="1">
      <c r="A2" s="6" t="s">
        <v>16</v>
      </c>
      <c r="B2" s="7"/>
    </row>
    <row r="3" spans="1:34" hidden="1">
      <c r="A3" s="8" t="s">
        <v>7</v>
      </c>
      <c r="B3" s="6" t="s">
        <v>8</v>
      </c>
    </row>
    <row r="4" spans="1:34" hidden="1">
      <c r="A4" s="7" t="s">
        <v>14</v>
      </c>
    </row>
    <row r="5" spans="1:34" hidden="1">
      <c r="B5" s="2">
        <v>1</v>
      </c>
      <c r="C5" s="2">
        <v>2</v>
      </c>
      <c r="D5" s="2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9">
        <v>29</v>
      </c>
      <c r="AE5" s="19">
        <v>30</v>
      </c>
      <c r="AF5" s="20">
        <v>31</v>
      </c>
      <c r="AG5" s="21" t="s">
        <v>10</v>
      </c>
      <c r="AH5" s="21" t="s">
        <v>12</v>
      </c>
    </row>
    <row r="6" spans="1:34" hidden="1">
      <c r="B6" s="3" t="s">
        <v>1</v>
      </c>
      <c r="C6" s="3" t="s">
        <v>2</v>
      </c>
      <c r="D6" s="3" t="s">
        <v>3</v>
      </c>
      <c r="E6" s="22" t="s">
        <v>4</v>
      </c>
      <c r="F6" s="22" t="s">
        <v>5</v>
      </c>
      <c r="G6" s="22" t="s">
        <v>6</v>
      </c>
      <c r="H6" s="22" t="s">
        <v>2</v>
      </c>
      <c r="I6" s="22" t="s">
        <v>1</v>
      </c>
      <c r="J6" s="22" t="s">
        <v>2</v>
      </c>
      <c r="K6" s="22" t="s">
        <v>3</v>
      </c>
      <c r="L6" s="22" t="s">
        <v>4</v>
      </c>
      <c r="M6" s="22" t="s">
        <v>5</v>
      </c>
      <c r="N6" s="22" t="s">
        <v>6</v>
      </c>
      <c r="O6" s="22" t="s">
        <v>2</v>
      </c>
      <c r="P6" s="22" t="s">
        <v>1</v>
      </c>
      <c r="Q6" s="22" t="s">
        <v>2</v>
      </c>
      <c r="R6" s="22" t="s">
        <v>3</v>
      </c>
      <c r="S6" s="22" t="s">
        <v>4</v>
      </c>
      <c r="T6" s="22" t="s">
        <v>5</v>
      </c>
      <c r="U6" s="22" t="s">
        <v>6</v>
      </c>
      <c r="V6" s="22" t="s">
        <v>2</v>
      </c>
      <c r="W6" s="22" t="s">
        <v>1</v>
      </c>
      <c r="X6" s="22" t="s">
        <v>2</v>
      </c>
      <c r="Y6" s="22" t="s">
        <v>3</v>
      </c>
      <c r="Z6" s="22" t="s">
        <v>4</v>
      </c>
      <c r="AA6" s="22" t="s">
        <v>5</v>
      </c>
      <c r="AB6" s="22" t="s">
        <v>6</v>
      </c>
      <c r="AC6" s="22" t="s">
        <v>2</v>
      </c>
      <c r="AD6" s="22" t="s">
        <v>1</v>
      </c>
      <c r="AE6" s="22" t="s">
        <v>2</v>
      </c>
      <c r="AF6" s="22" t="s">
        <v>3</v>
      </c>
      <c r="AG6" s="23" t="s">
        <v>11</v>
      </c>
      <c r="AH6" s="23" t="s">
        <v>9</v>
      </c>
    </row>
    <row r="7" spans="1:34" hidden="1"/>
    <row r="8" spans="1:34" hidden="1">
      <c r="A8" s="5" t="s">
        <v>19</v>
      </c>
    </row>
    <row r="9" spans="1:34" hidden="1">
      <c r="A9" t="s">
        <v>17</v>
      </c>
      <c r="B9" s="9"/>
      <c r="C9" s="9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2">
        <f>SUM(B9:AF9)</f>
        <v>0</v>
      </c>
      <c r="AH9" s="12">
        <f>AG9/31</f>
        <v>0</v>
      </c>
    </row>
    <row r="10" spans="1:34" hidden="1">
      <c r="A10" t="s">
        <v>18</v>
      </c>
      <c r="B10" s="9"/>
      <c r="C10" s="9"/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2">
        <f t="shared" ref="AG10" si="0">SUM(B10:AF10)</f>
        <v>0</v>
      </c>
      <c r="AH10" s="12">
        <f>AG10/31</f>
        <v>0</v>
      </c>
    </row>
    <row r="11" spans="1:34" ht="15.75" hidden="1" thickBot="1">
      <c r="A11" s="4" t="s">
        <v>20</v>
      </c>
      <c r="B11" s="11">
        <f t="shared" ref="B11:AG11" si="1">SUM(B9:B10)</f>
        <v>0</v>
      </c>
      <c r="C11" s="11">
        <f t="shared" si="1"/>
        <v>0</v>
      </c>
      <c r="D11" s="11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</row>
    <row r="12" spans="1:34" ht="15.75" hidden="1" thickTop="1">
      <c r="A12" t="s">
        <v>13</v>
      </c>
    </row>
    <row r="13" spans="1:34">
      <c r="A13" s="8" t="s">
        <v>7</v>
      </c>
      <c r="B13" s="6" t="s">
        <v>8</v>
      </c>
    </row>
    <row r="14" spans="1:34">
      <c r="A14" s="8" t="s">
        <v>15</v>
      </c>
      <c r="B14" s="10">
        <v>2011</v>
      </c>
    </row>
    <row r="15" spans="1:34">
      <c r="E15" s="28">
        <v>1</v>
      </c>
      <c r="F15" s="28">
        <v>2</v>
      </c>
      <c r="G15" s="28">
        <v>3</v>
      </c>
      <c r="H15" s="28">
        <v>4</v>
      </c>
      <c r="I15" s="28">
        <v>5</v>
      </c>
      <c r="J15" s="28">
        <v>6</v>
      </c>
      <c r="K15" s="28">
        <v>7</v>
      </c>
      <c r="L15" s="28">
        <v>8</v>
      </c>
      <c r="M15" s="28">
        <v>9</v>
      </c>
      <c r="N15" s="28">
        <v>10</v>
      </c>
      <c r="O15" s="28">
        <v>11</v>
      </c>
      <c r="P15" s="28">
        <v>12</v>
      </c>
      <c r="Q15" s="28">
        <v>13</v>
      </c>
      <c r="R15" s="28">
        <v>14</v>
      </c>
      <c r="S15" s="28">
        <v>15</v>
      </c>
      <c r="T15" s="28">
        <v>16</v>
      </c>
      <c r="U15" s="28">
        <v>17</v>
      </c>
      <c r="V15" s="28">
        <v>18</v>
      </c>
      <c r="W15" s="28">
        <v>19</v>
      </c>
      <c r="X15" s="28">
        <v>20</v>
      </c>
      <c r="Y15" s="28">
        <v>21</v>
      </c>
      <c r="Z15" s="28">
        <v>22</v>
      </c>
      <c r="AA15" s="28">
        <v>23</v>
      </c>
      <c r="AB15" s="28">
        <v>24</v>
      </c>
      <c r="AC15" s="28">
        <v>25</v>
      </c>
      <c r="AD15" s="28">
        <v>26</v>
      </c>
      <c r="AE15" s="28">
        <v>27</v>
      </c>
      <c r="AF15" s="28">
        <v>28</v>
      </c>
      <c r="AG15" s="21" t="s">
        <v>10</v>
      </c>
      <c r="AH15" s="21" t="s">
        <v>12</v>
      </c>
    </row>
    <row r="16" spans="1:34">
      <c r="E16" s="22" t="s">
        <v>4</v>
      </c>
      <c r="F16" s="22" t="s">
        <v>5</v>
      </c>
      <c r="G16" s="22" t="s">
        <v>22</v>
      </c>
      <c r="H16" s="22" t="s">
        <v>6</v>
      </c>
      <c r="I16" s="22" t="s">
        <v>1</v>
      </c>
      <c r="J16" s="22" t="s">
        <v>2</v>
      </c>
      <c r="K16" s="22" t="s">
        <v>3</v>
      </c>
      <c r="L16" s="22" t="s">
        <v>4</v>
      </c>
      <c r="M16" s="22" t="s">
        <v>5</v>
      </c>
      <c r="N16" s="22" t="s">
        <v>22</v>
      </c>
      <c r="O16" s="22" t="s">
        <v>23</v>
      </c>
      <c r="P16" s="22" t="s">
        <v>1</v>
      </c>
      <c r="Q16" s="22" t="s">
        <v>2</v>
      </c>
      <c r="R16" s="22" t="s">
        <v>3</v>
      </c>
      <c r="S16" s="22" t="s">
        <v>4</v>
      </c>
      <c r="T16" s="22" t="s">
        <v>5</v>
      </c>
      <c r="U16" s="22" t="s">
        <v>22</v>
      </c>
      <c r="V16" s="22" t="s">
        <v>6</v>
      </c>
      <c r="W16" s="22" t="s">
        <v>1</v>
      </c>
      <c r="X16" s="22" t="s">
        <v>2</v>
      </c>
      <c r="Y16" s="22" t="s">
        <v>3</v>
      </c>
      <c r="Z16" s="22" t="s">
        <v>4</v>
      </c>
      <c r="AA16" s="22" t="s">
        <v>5</v>
      </c>
      <c r="AB16" s="22" t="s">
        <v>22</v>
      </c>
      <c r="AC16" s="22" t="s">
        <v>6</v>
      </c>
      <c r="AD16" s="22" t="s">
        <v>1</v>
      </c>
      <c r="AE16" s="22" t="s">
        <v>2</v>
      </c>
      <c r="AF16" s="22" t="s">
        <v>3</v>
      </c>
      <c r="AG16" s="23" t="s">
        <v>11</v>
      </c>
      <c r="AH16" s="23" t="s">
        <v>9</v>
      </c>
    </row>
    <row r="17" spans="1:34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4"/>
      <c r="AH17" s="24"/>
    </row>
    <row r="18" spans="1:34">
      <c r="A18" s="5" t="s">
        <v>19</v>
      </c>
    </row>
    <row r="19" spans="1:34" s="12" customFormat="1">
      <c r="A19" s="12" t="s">
        <v>17</v>
      </c>
      <c r="K19" s="13">
        <v>1635672</v>
      </c>
      <c r="L19" s="12">
        <v>665744.21</v>
      </c>
      <c r="M19" s="12">
        <v>733341.66</v>
      </c>
      <c r="N19" s="12">
        <v>798248.59</v>
      </c>
      <c r="O19" s="12">
        <v>901658.39</v>
      </c>
      <c r="R19" s="12">
        <v>966325.48</v>
      </c>
      <c r="S19" s="12">
        <v>1007675.98</v>
      </c>
      <c r="T19" s="12">
        <v>1045630.71</v>
      </c>
      <c r="U19" s="12">
        <v>531701.06000000006</v>
      </c>
      <c r="V19" s="12">
        <v>623334.74</v>
      </c>
      <c r="Z19" s="12">
        <v>694597</v>
      </c>
      <c r="AA19" s="12">
        <v>781457.09</v>
      </c>
      <c r="AB19" s="12">
        <v>842617</v>
      </c>
      <c r="AC19" s="12">
        <v>919643.17</v>
      </c>
      <c r="AF19" s="12">
        <v>988033.17</v>
      </c>
      <c r="AG19" s="12">
        <f>SUM(B19:AF19)</f>
        <v>13135680.25</v>
      </c>
      <c r="AH19" s="12">
        <f>AG19/15</f>
        <v>875712.01666666672</v>
      </c>
    </row>
    <row r="20" spans="1:34" s="12" customFormat="1">
      <c r="A20" s="12" t="s">
        <v>18</v>
      </c>
      <c r="K20" s="13">
        <v>-161221</v>
      </c>
      <c r="L20" s="12">
        <v>-249331.03</v>
      </c>
      <c r="M20" s="12">
        <v>563782.34</v>
      </c>
      <c r="N20" s="12">
        <v>550173.09</v>
      </c>
      <c r="O20" s="12">
        <v>534966.62</v>
      </c>
      <c r="R20" s="12">
        <v>492998.54</v>
      </c>
      <c r="S20" s="12">
        <v>485229.57</v>
      </c>
      <c r="T20" s="12">
        <v>482713.49</v>
      </c>
      <c r="U20" s="12">
        <v>718788.5</v>
      </c>
      <c r="V20" s="12">
        <v>1219327.28</v>
      </c>
      <c r="Z20" s="12">
        <v>658162</v>
      </c>
      <c r="AA20" s="12">
        <v>584338.44999999995</v>
      </c>
      <c r="AB20" s="12">
        <v>550064</v>
      </c>
      <c r="AC20" s="12">
        <v>465790</v>
      </c>
      <c r="AF20" s="12">
        <v>461597.61</v>
      </c>
      <c r="AG20" s="12">
        <f>SUM(B20:AF20)</f>
        <v>7357379.4600000009</v>
      </c>
      <c r="AH20" s="16">
        <f>AG20/15</f>
        <v>490491.96400000004</v>
      </c>
    </row>
    <row r="21" spans="1:34" s="12" customFormat="1" ht="15.75" thickBot="1">
      <c r="A21" s="14" t="s">
        <v>20</v>
      </c>
      <c r="E21" s="15">
        <f t="shared" ref="E21:J21" si="2">SUM(E19:E20)</f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>SUM(K19:K20)</f>
        <v>1474451</v>
      </c>
      <c r="L21" s="15">
        <f t="shared" ref="L21:AG21" si="3">SUM(L19:L20)</f>
        <v>416413.17999999993</v>
      </c>
      <c r="M21" s="15">
        <f t="shared" si="3"/>
        <v>1297124</v>
      </c>
      <c r="N21" s="15">
        <f t="shared" si="3"/>
        <v>1348421.68</v>
      </c>
      <c r="O21" s="15">
        <f t="shared" si="3"/>
        <v>1436625.01</v>
      </c>
      <c r="P21" s="15">
        <f t="shared" si="3"/>
        <v>0</v>
      </c>
      <c r="Q21" s="15">
        <f t="shared" si="3"/>
        <v>0</v>
      </c>
      <c r="R21" s="15">
        <f t="shared" si="3"/>
        <v>1459324.02</v>
      </c>
      <c r="S21" s="15">
        <f t="shared" si="3"/>
        <v>1492905.55</v>
      </c>
      <c r="T21" s="15">
        <f t="shared" si="3"/>
        <v>1528344.2</v>
      </c>
      <c r="U21" s="15">
        <f t="shared" si="3"/>
        <v>1250489.56</v>
      </c>
      <c r="V21" s="52">
        <f t="shared" si="3"/>
        <v>1842662.02</v>
      </c>
      <c r="W21" s="52">
        <f t="shared" si="3"/>
        <v>0</v>
      </c>
      <c r="X21" s="52">
        <f t="shared" si="3"/>
        <v>0</v>
      </c>
      <c r="Y21" s="52">
        <f t="shared" si="3"/>
        <v>0</v>
      </c>
      <c r="Z21" s="52">
        <f t="shared" si="3"/>
        <v>1352759</v>
      </c>
      <c r="AA21" s="52">
        <f t="shared" si="3"/>
        <v>1365795.54</v>
      </c>
      <c r="AB21" s="52">
        <f t="shared" si="3"/>
        <v>1392681</v>
      </c>
      <c r="AC21" s="52">
        <f t="shared" si="3"/>
        <v>1385433.17</v>
      </c>
      <c r="AD21" s="15">
        <f t="shared" si="3"/>
        <v>0</v>
      </c>
      <c r="AE21" s="15">
        <f t="shared" si="3"/>
        <v>0</v>
      </c>
      <c r="AF21" s="15">
        <f t="shared" si="3"/>
        <v>1449630.78</v>
      </c>
      <c r="AG21" s="15">
        <f t="shared" si="3"/>
        <v>20493059.710000001</v>
      </c>
      <c r="AH21" s="17">
        <f>AG21/15</f>
        <v>1366203.9806666668</v>
      </c>
    </row>
    <row r="22" spans="1:34" ht="15.75" thickTop="1">
      <c r="A22" t="s">
        <v>21</v>
      </c>
      <c r="L22" s="12">
        <v>1000000</v>
      </c>
      <c r="U22" s="12">
        <v>600000</v>
      </c>
      <c r="AG22" s="12">
        <f>SUM(E21:AF21)</f>
        <v>20493059.710000001</v>
      </c>
    </row>
    <row r="23" spans="1:34">
      <c r="L23" s="12">
        <f>+L22+L21</f>
        <v>1416413.18</v>
      </c>
      <c r="U23" s="12">
        <f>+U21+U22</f>
        <v>1850489.56</v>
      </c>
    </row>
    <row r="31" spans="1:34" ht="18.75">
      <c r="A31" s="1" t="s">
        <v>0</v>
      </c>
    </row>
    <row r="32" spans="1:34">
      <c r="A32" s="18" t="s">
        <v>24</v>
      </c>
      <c r="B32" s="18" t="s">
        <v>25</v>
      </c>
    </row>
    <row r="33" spans="1:38">
      <c r="A33" s="18" t="s">
        <v>26</v>
      </c>
      <c r="B33" s="18">
        <v>2011</v>
      </c>
      <c r="AJ33" s="25" t="s">
        <v>10</v>
      </c>
      <c r="AK33" s="26" t="s">
        <v>12</v>
      </c>
    </row>
    <row r="34" spans="1:38">
      <c r="E34" s="28">
        <v>1</v>
      </c>
      <c r="F34" s="28">
        <v>2</v>
      </c>
      <c r="G34" s="28">
        <v>3</v>
      </c>
      <c r="H34" s="28">
        <v>4</v>
      </c>
      <c r="I34" s="28">
        <v>5</v>
      </c>
      <c r="J34" s="28">
        <v>6</v>
      </c>
      <c r="K34" s="28">
        <v>7</v>
      </c>
      <c r="L34" s="28">
        <v>8</v>
      </c>
      <c r="M34" s="28">
        <v>9</v>
      </c>
      <c r="N34" s="28">
        <v>10</v>
      </c>
      <c r="O34" s="28">
        <v>11</v>
      </c>
      <c r="P34" s="28">
        <v>12</v>
      </c>
      <c r="Q34" s="28">
        <v>13</v>
      </c>
      <c r="R34" s="28">
        <v>14</v>
      </c>
      <c r="S34" s="28">
        <v>15</v>
      </c>
      <c r="T34" s="28">
        <v>16</v>
      </c>
      <c r="U34" s="28">
        <v>17</v>
      </c>
      <c r="V34" s="28">
        <v>18</v>
      </c>
      <c r="W34" s="28">
        <v>19</v>
      </c>
      <c r="X34" s="28">
        <v>20</v>
      </c>
      <c r="Y34" s="28">
        <v>21</v>
      </c>
      <c r="Z34" s="28">
        <v>22</v>
      </c>
      <c r="AA34" s="28">
        <v>23</v>
      </c>
      <c r="AB34" s="28">
        <v>24</v>
      </c>
      <c r="AC34" s="28">
        <v>25</v>
      </c>
      <c r="AD34" s="28">
        <v>26</v>
      </c>
      <c r="AE34" s="28">
        <v>27</v>
      </c>
      <c r="AF34" s="28">
        <v>28</v>
      </c>
      <c r="AG34" s="28">
        <v>29</v>
      </c>
      <c r="AH34" s="28">
        <v>30</v>
      </c>
      <c r="AI34" s="29">
        <v>31</v>
      </c>
      <c r="AJ34" s="16" t="s">
        <v>11</v>
      </c>
      <c r="AK34" s="26" t="s">
        <v>9</v>
      </c>
    </row>
    <row r="35" spans="1:38">
      <c r="E35" s="22" t="s">
        <v>4</v>
      </c>
      <c r="F35" s="22" t="s">
        <v>5</v>
      </c>
      <c r="G35" s="22" t="s">
        <v>22</v>
      </c>
      <c r="H35" s="22" t="s">
        <v>6</v>
      </c>
      <c r="I35" s="22" t="s">
        <v>1</v>
      </c>
      <c r="J35" s="22" t="s">
        <v>2</v>
      </c>
      <c r="K35" s="22" t="s">
        <v>3</v>
      </c>
      <c r="L35" s="22" t="s">
        <v>4</v>
      </c>
      <c r="M35" s="22" t="s">
        <v>5</v>
      </c>
      <c r="N35" s="22" t="s">
        <v>22</v>
      </c>
      <c r="O35" s="22" t="s">
        <v>23</v>
      </c>
      <c r="P35" s="22" t="s">
        <v>1</v>
      </c>
      <c r="Q35" s="22" t="s">
        <v>2</v>
      </c>
      <c r="R35" s="22" t="s">
        <v>3</v>
      </c>
      <c r="S35" s="22" t="s">
        <v>4</v>
      </c>
      <c r="T35" s="22" t="s">
        <v>5</v>
      </c>
      <c r="U35" s="22" t="s">
        <v>22</v>
      </c>
      <c r="V35" s="22" t="s">
        <v>6</v>
      </c>
      <c r="W35" s="22" t="s">
        <v>1</v>
      </c>
      <c r="X35" s="22" t="s">
        <v>2</v>
      </c>
      <c r="Y35" s="22" t="s">
        <v>3</v>
      </c>
      <c r="Z35" s="22" t="s">
        <v>4</v>
      </c>
      <c r="AA35" s="22" t="s">
        <v>5</v>
      </c>
      <c r="AB35" s="22" t="s">
        <v>22</v>
      </c>
      <c r="AC35" s="22" t="s">
        <v>6</v>
      </c>
      <c r="AD35" s="22" t="s">
        <v>1</v>
      </c>
      <c r="AE35" s="22" t="s">
        <v>2</v>
      </c>
      <c r="AF35" s="22" t="s">
        <v>3</v>
      </c>
      <c r="AG35" s="24" t="s">
        <v>4</v>
      </c>
      <c r="AH35" s="24" t="s">
        <v>5</v>
      </c>
      <c r="AI35" s="27" t="s">
        <v>22</v>
      </c>
    </row>
    <row r="36" spans="1:38"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4"/>
      <c r="AH36" s="24"/>
    </row>
    <row r="37" spans="1:38">
      <c r="A37" s="5" t="s">
        <v>19</v>
      </c>
    </row>
    <row r="38" spans="1:38">
      <c r="A38" s="12" t="s">
        <v>17</v>
      </c>
      <c r="E38" s="12">
        <v>1033887.66</v>
      </c>
      <c r="F38" s="12">
        <v>1086159.9099999999</v>
      </c>
      <c r="G38" s="12">
        <v>610672.17000000004</v>
      </c>
      <c r="K38" s="12">
        <v>755763.84</v>
      </c>
      <c r="L38" s="12">
        <v>798023</v>
      </c>
      <c r="M38" s="12">
        <v>843527.08</v>
      </c>
      <c r="N38" s="12">
        <v>887977.63</v>
      </c>
      <c r="O38" s="12">
        <v>942894.17</v>
      </c>
      <c r="R38" s="12">
        <v>978407.1</v>
      </c>
      <c r="S38" s="12">
        <v>997166.92</v>
      </c>
      <c r="T38" s="12">
        <v>1029278.54</v>
      </c>
      <c r="U38" s="12">
        <v>1097200</v>
      </c>
      <c r="Y38" s="12">
        <v>1274269.6599999999</v>
      </c>
      <c r="Z38" s="12">
        <v>712075.23</v>
      </c>
      <c r="AA38" s="12">
        <v>736560.7</v>
      </c>
      <c r="AB38" s="12">
        <v>779823.65</v>
      </c>
      <c r="AC38" s="12">
        <v>856823.22</v>
      </c>
      <c r="AF38" s="12">
        <v>897913.4</v>
      </c>
      <c r="AG38" s="12">
        <v>653140</v>
      </c>
      <c r="AH38" s="12">
        <v>700935.92</v>
      </c>
      <c r="AI38" s="12">
        <v>771952.28</v>
      </c>
      <c r="AJ38" s="12">
        <f>SUM(E38:AI38)</f>
        <v>18444452.080000006</v>
      </c>
      <c r="AK38" s="12">
        <f>+AJ38/21</f>
        <v>878307.24190476222</v>
      </c>
      <c r="AL38" s="12"/>
    </row>
    <row r="39" spans="1:38">
      <c r="A39" s="12" t="s">
        <v>18</v>
      </c>
      <c r="E39" s="12">
        <v>679700.03</v>
      </c>
      <c r="F39" s="12">
        <v>653692.11</v>
      </c>
      <c r="G39" s="12">
        <v>608780.11</v>
      </c>
      <c r="K39" s="12">
        <v>859493.47</v>
      </c>
      <c r="L39" s="12">
        <v>415599.74</v>
      </c>
      <c r="M39" s="12">
        <v>410769.65</v>
      </c>
      <c r="N39" s="12">
        <v>433864.45</v>
      </c>
      <c r="O39" s="12">
        <v>419093.97</v>
      </c>
      <c r="R39" s="12">
        <v>389224.01</v>
      </c>
      <c r="S39" s="12">
        <v>276218.03999999998</v>
      </c>
      <c r="T39" s="12">
        <v>525137</v>
      </c>
      <c r="U39" s="12">
        <v>499742.56</v>
      </c>
      <c r="Y39" s="12">
        <v>441590.25</v>
      </c>
      <c r="Z39" s="12">
        <v>40987.300000000003</v>
      </c>
      <c r="AA39" s="12">
        <v>588133.48</v>
      </c>
      <c r="AB39" s="12">
        <v>537334.19999999995</v>
      </c>
      <c r="AC39" s="12">
        <v>542589.9</v>
      </c>
      <c r="AF39" s="12">
        <v>533851.53</v>
      </c>
      <c r="AG39" s="12">
        <v>824339.57</v>
      </c>
      <c r="AI39" s="12">
        <v>370117.82</v>
      </c>
      <c r="AJ39" s="12">
        <f>SUM(E39:AI39)</f>
        <v>10050259.190000001</v>
      </c>
      <c r="AK39" s="12">
        <f>+AJ39/20</f>
        <v>502512.95950000006</v>
      </c>
    </row>
    <row r="40" spans="1:38" ht="15.75" thickBot="1">
      <c r="A40" s="14" t="s">
        <v>20</v>
      </c>
      <c r="E40" s="17">
        <f>SUM(E38:E39)</f>
        <v>1713587.69</v>
      </c>
      <c r="F40" s="17">
        <f>SUM(F38:F39)</f>
        <v>1739852.02</v>
      </c>
      <c r="G40" s="17">
        <f>SUM(G38:G39)</f>
        <v>1219452.28</v>
      </c>
      <c r="H40" s="17"/>
      <c r="I40" s="17"/>
      <c r="J40" s="17"/>
      <c r="K40" s="17">
        <f>SUM(K38:K39)</f>
        <v>1615257.31</v>
      </c>
      <c r="L40" s="17">
        <f>SUM(L38:L39)</f>
        <v>1213622.74</v>
      </c>
      <c r="M40" s="17">
        <f t="shared" ref="M40:AK40" si="4">SUM(M38:M39)</f>
        <v>1254296.73</v>
      </c>
      <c r="N40" s="17">
        <f t="shared" si="4"/>
        <v>1321842.08</v>
      </c>
      <c r="O40" s="17">
        <f t="shared" si="4"/>
        <v>1361988.1400000001</v>
      </c>
      <c r="P40" s="17">
        <f t="shared" si="4"/>
        <v>0</v>
      </c>
      <c r="Q40" s="17">
        <f t="shared" si="4"/>
        <v>0</v>
      </c>
      <c r="R40" s="17">
        <f t="shared" si="4"/>
        <v>1367631.1099999999</v>
      </c>
      <c r="S40" s="17">
        <f t="shared" si="4"/>
        <v>1273384.96</v>
      </c>
      <c r="T40" s="17">
        <f t="shared" si="4"/>
        <v>1554415.54</v>
      </c>
      <c r="U40" s="17">
        <f t="shared" si="4"/>
        <v>1596942.56</v>
      </c>
      <c r="V40" s="53">
        <f t="shared" si="4"/>
        <v>0</v>
      </c>
      <c r="W40" s="17">
        <f t="shared" si="4"/>
        <v>0</v>
      </c>
      <c r="X40" s="17">
        <f t="shared" si="4"/>
        <v>0</v>
      </c>
      <c r="Y40" s="17">
        <f t="shared" si="4"/>
        <v>1715859.91</v>
      </c>
      <c r="Z40" s="54">
        <f t="shared" si="4"/>
        <v>753062.53</v>
      </c>
      <c r="AA40" s="54">
        <f t="shared" si="4"/>
        <v>1324694.18</v>
      </c>
      <c r="AB40" s="54">
        <f t="shared" si="4"/>
        <v>1317157.8500000001</v>
      </c>
      <c r="AC40" s="54">
        <f t="shared" si="4"/>
        <v>1399413.12</v>
      </c>
      <c r="AD40" s="17">
        <f t="shared" si="4"/>
        <v>0</v>
      </c>
      <c r="AE40" s="17">
        <f t="shared" si="4"/>
        <v>0</v>
      </c>
      <c r="AF40" s="17">
        <f t="shared" si="4"/>
        <v>1431764.9300000002</v>
      </c>
      <c r="AG40" s="53">
        <f t="shared" si="4"/>
        <v>1477479.5699999998</v>
      </c>
      <c r="AH40" s="17">
        <f t="shared" si="4"/>
        <v>700935.92</v>
      </c>
      <c r="AI40" s="17">
        <f t="shared" si="4"/>
        <v>1142070.1000000001</v>
      </c>
      <c r="AJ40" s="17">
        <f t="shared" si="4"/>
        <v>28494711.270000007</v>
      </c>
      <c r="AK40" s="17">
        <f t="shared" si="4"/>
        <v>1380820.2014047622</v>
      </c>
    </row>
    <row r="41" spans="1:38" ht="15.75" thickTop="1">
      <c r="A41" t="s">
        <v>21</v>
      </c>
      <c r="G41" s="12">
        <v>500000</v>
      </c>
      <c r="Z41" s="12">
        <v>600000</v>
      </c>
    </row>
    <row r="42" spans="1:38">
      <c r="G42" s="12">
        <f>+G40+G41</f>
        <v>1719452.28</v>
      </c>
      <c r="Z42" s="12">
        <f>+Z41+Z40</f>
        <v>1353062.53</v>
      </c>
    </row>
    <row r="48" spans="1:38" ht="18.75">
      <c r="A48" s="1" t="s">
        <v>0</v>
      </c>
    </row>
    <row r="49" spans="1:35">
      <c r="A49" s="18" t="s">
        <v>24</v>
      </c>
      <c r="B49" s="18" t="s">
        <v>25</v>
      </c>
    </row>
    <row r="50" spans="1:35">
      <c r="A50" s="18" t="s">
        <v>37</v>
      </c>
      <c r="B50" s="18">
        <v>2011</v>
      </c>
      <c r="AH50" s="25" t="s">
        <v>10</v>
      </c>
      <c r="AI50" s="26" t="s">
        <v>12</v>
      </c>
    </row>
    <row r="51" spans="1:35">
      <c r="E51" s="28">
        <v>1</v>
      </c>
      <c r="F51" s="28">
        <v>4</v>
      </c>
      <c r="G51" s="28">
        <v>5</v>
      </c>
      <c r="H51" s="28">
        <v>6</v>
      </c>
      <c r="I51" s="28">
        <v>5</v>
      </c>
      <c r="J51" s="28">
        <v>6</v>
      </c>
      <c r="K51" s="28">
        <v>7</v>
      </c>
      <c r="L51" s="28">
        <v>8</v>
      </c>
      <c r="M51" s="28">
        <v>11</v>
      </c>
      <c r="N51" s="28">
        <v>12</v>
      </c>
      <c r="O51" s="28">
        <v>13</v>
      </c>
      <c r="P51" s="28">
        <v>12</v>
      </c>
      <c r="Q51" s="28">
        <v>13</v>
      </c>
      <c r="R51" s="28">
        <v>14</v>
      </c>
      <c r="S51" s="28">
        <v>15</v>
      </c>
      <c r="T51" s="28">
        <v>18</v>
      </c>
      <c r="U51" s="28">
        <v>19</v>
      </c>
      <c r="V51" s="28">
        <v>20</v>
      </c>
      <c r="W51" s="28">
        <v>19</v>
      </c>
      <c r="X51" s="28">
        <v>20</v>
      </c>
      <c r="Y51" s="28">
        <v>21</v>
      </c>
      <c r="Z51" s="28">
        <v>22</v>
      </c>
      <c r="AA51" s="28">
        <v>25</v>
      </c>
      <c r="AB51" s="28">
        <v>26</v>
      </c>
      <c r="AC51" s="28">
        <v>27</v>
      </c>
      <c r="AD51" s="28">
        <v>26</v>
      </c>
      <c r="AE51" s="28">
        <v>27</v>
      </c>
      <c r="AF51" s="28">
        <v>28</v>
      </c>
      <c r="AG51" s="28">
        <v>29</v>
      </c>
      <c r="AH51" s="16" t="s">
        <v>11</v>
      </c>
      <c r="AI51" s="26" t="s">
        <v>9</v>
      </c>
    </row>
    <row r="52" spans="1:35">
      <c r="E52" s="22" t="s">
        <v>6</v>
      </c>
      <c r="F52" s="22" t="s">
        <v>3</v>
      </c>
      <c r="G52" s="22" t="s">
        <v>4</v>
      </c>
      <c r="H52" s="22" t="s">
        <v>5</v>
      </c>
      <c r="I52" s="22" t="s">
        <v>22</v>
      </c>
      <c r="J52" s="22" t="s">
        <v>23</v>
      </c>
      <c r="K52" s="22" t="s">
        <v>22</v>
      </c>
      <c r="L52" s="22" t="s">
        <v>23</v>
      </c>
      <c r="M52" s="22" t="s">
        <v>3</v>
      </c>
      <c r="N52" s="22" t="s">
        <v>4</v>
      </c>
      <c r="O52" s="22" t="s">
        <v>5</v>
      </c>
      <c r="P52" s="22" t="s">
        <v>22</v>
      </c>
      <c r="Q52" s="22" t="s">
        <v>23</v>
      </c>
      <c r="R52" s="22" t="s">
        <v>22</v>
      </c>
      <c r="S52" s="22" t="s">
        <v>23</v>
      </c>
      <c r="T52" s="22" t="s">
        <v>3</v>
      </c>
      <c r="U52" s="22" t="s">
        <v>4</v>
      </c>
      <c r="V52" s="22" t="s">
        <v>5</v>
      </c>
      <c r="W52" s="22" t="s">
        <v>22</v>
      </c>
      <c r="X52" s="22" t="s">
        <v>23</v>
      </c>
      <c r="Y52" s="22" t="s">
        <v>22</v>
      </c>
      <c r="Z52" s="22" t="s">
        <v>23</v>
      </c>
      <c r="AA52" s="22" t="s">
        <v>3</v>
      </c>
      <c r="AB52" s="22" t="s">
        <v>4</v>
      </c>
      <c r="AC52" s="22" t="s">
        <v>5</v>
      </c>
      <c r="AD52" s="22" t="s">
        <v>22</v>
      </c>
      <c r="AE52" s="22" t="s">
        <v>6</v>
      </c>
      <c r="AF52" s="22" t="s">
        <v>22</v>
      </c>
      <c r="AG52" s="22" t="s">
        <v>6</v>
      </c>
    </row>
    <row r="54" spans="1:35">
      <c r="A54" s="5" t="s">
        <v>19</v>
      </c>
    </row>
    <row r="55" spans="1:35">
      <c r="A55" s="12" t="s">
        <v>17</v>
      </c>
      <c r="E55" s="12">
        <v>907105.87</v>
      </c>
      <c r="F55" s="12">
        <v>941037.75</v>
      </c>
      <c r="G55" s="12">
        <v>1001208.15</v>
      </c>
      <c r="H55" s="12">
        <v>1064814.33</v>
      </c>
      <c r="K55" s="12">
        <v>1100681.67</v>
      </c>
      <c r="L55" s="12">
        <v>850153.72</v>
      </c>
      <c r="M55" s="12">
        <v>897897.33</v>
      </c>
      <c r="N55" s="12">
        <v>961222.43</v>
      </c>
      <c r="O55" s="12">
        <v>1013746.4</v>
      </c>
      <c r="R55" s="12">
        <v>512947.74</v>
      </c>
      <c r="S55" s="12">
        <v>582962.19999999995</v>
      </c>
      <c r="T55" s="12">
        <v>725652.86</v>
      </c>
      <c r="U55" s="12">
        <v>769808.62</v>
      </c>
      <c r="V55" s="12">
        <v>841254.07</v>
      </c>
      <c r="Y55" s="12">
        <v>883485.41</v>
      </c>
      <c r="Z55" s="12">
        <v>973180.95</v>
      </c>
      <c r="AA55" s="12">
        <v>1005794.03</v>
      </c>
      <c r="AB55" s="12">
        <v>1035473.49</v>
      </c>
      <c r="AC55" s="12">
        <v>1183717.6599999999</v>
      </c>
      <c r="AF55" s="12">
        <v>1234095.8799999999</v>
      </c>
      <c r="AG55" s="12">
        <v>1321352.72</v>
      </c>
      <c r="AH55" s="12">
        <f>SUM(E55:AG55)</f>
        <v>19807593.279999994</v>
      </c>
      <c r="AI55" s="12">
        <f>+AH55/21</f>
        <v>943218.72761904728</v>
      </c>
    </row>
    <row r="56" spans="1:35">
      <c r="A56" s="12" t="s">
        <v>18</v>
      </c>
      <c r="E56" s="12">
        <v>792929.7100000002</v>
      </c>
      <c r="F56" s="12">
        <v>400856.52</v>
      </c>
      <c r="G56" s="12">
        <v>272911.95</v>
      </c>
      <c r="H56" s="12">
        <v>229851.54</v>
      </c>
      <c r="K56" s="12">
        <v>186569.49</v>
      </c>
      <c r="L56" s="12">
        <v>177837.42</v>
      </c>
      <c r="M56" s="12">
        <v>132249.68</v>
      </c>
      <c r="N56" s="12">
        <v>475353.71</v>
      </c>
      <c r="O56" s="12">
        <v>396433.35</v>
      </c>
      <c r="R56" s="12">
        <v>372944.23000000016</v>
      </c>
      <c r="S56" s="12">
        <v>370424.8600000001</v>
      </c>
      <c r="T56" s="12">
        <v>934700.72999999986</v>
      </c>
      <c r="U56" s="12">
        <v>418101.22</v>
      </c>
      <c r="V56" s="12">
        <v>569116.77</v>
      </c>
      <c r="Y56" s="12">
        <v>552235.14</v>
      </c>
      <c r="Z56" s="12">
        <v>561005.23</v>
      </c>
      <c r="AA56" s="12">
        <v>493397.50000000006</v>
      </c>
      <c r="AB56" s="12">
        <v>491143.14000000007</v>
      </c>
      <c r="AC56" s="12">
        <v>408752.94000000018</v>
      </c>
      <c r="AF56" s="12">
        <v>311167.79999999993</v>
      </c>
      <c r="AG56" s="12">
        <v>249008.9</v>
      </c>
      <c r="AH56" s="12">
        <f>SUM(E56:AG56)</f>
        <v>8796991.8300000001</v>
      </c>
      <c r="AI56" s="12">
        <f>+AH56/21</f>
        <v>418904.37285714288</v>
      </c>
    </row>
    <row r="57" spans="1:35" ht="15.75" thickBot="1">
      <c r="A57" s="14" t="s">
        <v>20</v>
      </c>
      <c r="E57" s="17">
        <f>SUM(E55:E56)</f>
        <v>1700035.58</v>
      </c>
      <c r="F57" s="67">
        <f t="shared" ref="F57:AI57" si="5">SUM(F55:F56)</f>
        <v>1341894.27</v>
      </c>
      <c r="G57" s="17">
        <f t="shared" si="5"/>
        <v>1274120.1000000001</v>
      </c>
      <c r="H57" s="17">
        <f t="shared" si="5"/>
        <v>1294665.8700000001</v>
      </c>
      <c r="I57" s="17">
        <f t="shared" si="5"/>
        <v>0</v>
      </c>
      <c r="J57" s="17">
        <f t="shared" si="5"/>
        <v>0</v>
      </c>
      <c r="K57" s="17">
        <f t="shared" si="5"/>
        <v>1287251.1599999999</v>
      </c>
      <c r="L57" s="17">
        <f t="shared" si="5"/>
        <v>1027991.14</v>
      </c>
      <c r="M57" s="17">
        <f t="shared" si="5"/>
        <v>1030147.01</v>
      </c>
      <c r="N57" s="17">
        <f t="shared" si="5"/>
        <v>1436576.1400000001</v>
      </c>
      <c r="O57" s="17">
        <f t="shared" si="5"/>
        <v>1410179.75</v>
      </c>
      <c r="P57" s="17">
        <f t="shared" si="5"/>
        <v>0</v>
      </c>
      <c r="Q57" s="17">
        <f t="shared" si="5"/>
        <v>0</v>
      </c>
      <c r="R57" s="17">
        <f t="shared" si="5"/>
        <v>885891.9700000002</v>
      </c>
      <c r="S57" s="17">
        <f t="shared" si="5"/>
        <v>953387.06</v>
      </c>
      <c r="T57" s="17">
        <f t="shared" si="5"/>
        <v>1660353.5899999999</v>
      </c>
      <c r="U57" s="17">
        <f t="shared" si="5"/>
        <v>1187909.8399999999</v>
      </c>
      <c r="V57" s="67">
        <f t="shared" si="5"/>
        <v>1410370.8399999999</v>
      </c>
      <c r="W57" s="17">
        <f t="shared" si="5"/>
        <v>0</v>
      </c>
      <c r="X57" s="17">
        <f t="shared" si="5"/>
        <v>0</v>
      </c>
      <c r="Y57" s="17">
        <f t="shared" si="5"/>
        <v>1435720.55</v>
      </c>
      <c r="Z57" s="17">
        <f t="shared" si="5"/>
        <v>1534186.18</v>
      </c>
      <c r="AA57" s="17">
        <f t="shared" si="5"/>
        <v>1499191.53</v>
      </c>
      <c r="AB57" s="17">
        <f t="shared" si="5"/>
        <v>1526616.6300000001</v>
      </c>
      <c r="AC57" s="17">
        <f t="shared" si="5"/>
        <v>1592470.6</v>
      </c>
      <c r="AD57" s="17">
        <f t="shared" si="5"/>
        <v>0</v>
      </c>
      <c r="AE57" s="17">
        <f t="shared" si="5"/>
        <v>0</v>
      </c>
      <c r="AF57" s="17">
        <f t="shared" si="5"/>
        <v>1545263.6799999997</v>
      </c>
      <c r="AG57" s="17">
        <f t="shared" si="5"/>
        <v>1570361.6199999999</v>
      </c>
      <c r="AH57" s="17">
        <f t="shared" si="5"/>
        <v>28604585.109999992</v>
      </c>
      <c r="AI57" s="17">
        <f t="shared" si="5"/>
        <v>1362123.1004761902</v>
      </c>
    </row>
    <row r="58" spans="1:35" ht="15.75" thickTop="1">
      <c r="A58" t="s">
        <v>21</v>
      </c>
      <c r="L58" s="12">
        <v>350000</v>
      </c>
      <c r="M58" s="12">
        <v>350000</v>
      </c>
      <c r="R58" s="12">
        <v>550000</v>
      </c>
      <c r="S58" s="12">
        <v>550000</v>
      </c>
    </row>
    <row r="59" spans="1:35">
      <c r="L59" s="12">
        <f>+L58+L57</f>
        <v>1377991.1400000001</v>
      </c>
      <c r="M59" s="12">
        <f>+M58+M57</f>
        <v>1380147.01</v>
      </c>
      <c r="R59" s="12">
        <f>+R58+R57</f>
        <v>1435891.9700000002</v>
      </c>
      <c r="S59" s="12">
        <f>+S58+S57</f>
        <v>1503387.06</v>
      </c>
    </row>
    <row r="61" spans="1:35">
      <c r="A61" s="68" t="s">
        <v>58</v>
      </c>
      <c r="F61" s="12">
        <f>F55-E55</f>
        <v>33931.880000000005</v>
      </c>
      <c r="G61" s="12">
        <f>G55-F55</f>
        <v>60170.400000000023</v>
      </c>
      <c r="H61" s="12">
        <f>H55-G55</f>
        <v>63606.180000000051</v>
      </c>
      <c r="K61" s="12">
        <f>K55-H55</f>
        <v>35867.339999999851</v>
      </c>
      <c r="L61" s="12">
        <f>L55-K55+L58</f>
        <v>99472.050000000047</v>
      </c>
      <c r="M61" s="12">
        <f>M55-L55</f>
        <v>47743.609999999986</v>
      </c>
      <c r="N61" s="12">
        <f>N55-M55</f>
        <v>63325.100000000093</v>
      </c>
    </row>
    <row r="62" spans="1:35">
      <c r="L62" s="12" t="s">
        <v>57</v>
      </c>
    </row>
    <row r="64" spans="1:35" ht="18.75">
      <c r="A64" s="1" t="s">
        <v>0</v>
      </c>
    </row>
    <row r="65" spans="1:36">
      <c r="A65" s="18" t="s">
        <v>24</v>
      </c>
      <c r="B65" s="18" t="s">
        <v>25</v>
      </c>
      <c r="AI65" s="97" t="s">
        <v>10</v>
      </c>
      <c r="AJ65" s="19" t="s">
        <v>12</v>
      </c>
    </row>
    <row r="66" spans="1:36">
      <c r="A66" s="18" t="s">
        <v>38</v>
      </c>
      <c r="B66" s="18">
        <v>2011</v>
      </c>
      <c r="AI66" s="49" t="s">
        <v>11</v>
      </c>
      <c r="AJ66" s="19" t="s">
        <v>9</v>
      </c>
    </row>
    <row r="67" spans="1:36">
      <c r="E67" s="28">
        <v>2</v>
      </c>
      <c r="F67" s="28">
        <v>3</v>
      </c>
      <c r="G67" s="28">
        <v>4</v>
      </c>
      <c r="H67" s="28">
        <v>5</v>
      </c>
      <c r="I67" s="28">
        <v>2</v>
      </c>
      <c r="J67" s="28">
        <v>2</v>
      </c>
      <c r="K67" s="28">
        <v>6</v>
      </c>
      <c r="L67" s="28">
        <v>9</v>
      </c>
      <c r="M67" s="28">
        <v>10</v>
      </c>
      <c r="N67" s="28">
        <v>11</v>
      </c>
      <c r="O67" s="28">
        <v>12</v>
      </c>
      <c r="P67" s="28">
        <v>2</v>
      </c>
      <c r="Q67" s="28">
        <v>2</v>
      </c>
      <c r="R67" s="28">
        <v>13</v>
      </c>
      <c r="S67" s="28">
        <v>16</v>
      </c>
      <c r="T67" s="28">
        <v>17</v>
      </c>
      <c r="U67" s="28">
        <v>18</v>
      </c>
      <c r="V67" s="28">
        <v>19</v>
      </c>
      <c r="W67" s="28">
        <v>16</v>
      </c>
      <c r="X67" s="28">
        <v>16</v>
      </c>
      <c r="Y67" s="28">
        <v>20</v>
      </c>
      <c r="Z67" s="28">
        <v>23</v>
      </c>
      <c r="AA67" s="28">
        <v>24</v>
      </c>
      <c r="AB67" s="28">
        <v>25</v>
      </c>
      <c r="AC67" s="28">
        <v>26</v>
      </c>
      <c r="AF67" s="28">
        <v>27</v>
      </c>
      <c r="AG67" s="28">
        <v>30</v>
      </c>
      <c r="AH67" s="28">
        <v>31</v>
      </c>
    </row>
    <row r="68" spans="1:36">
      <c r="E68" s="22" t="s">
        <v>3</v>
      </c>
      <c r="F68" s="22" t="s">
        <v>4</v>
      </c>
      <c r="G68" s="22" t="s">
        <v>5</v>
      </c>
      <c r="H68" s="22" t="s">
        <v>22</v>
      </c>
      <c r="I68" s="22" t="s">
        <v>3</v>
      </c>
      <c r="J68" s="22" t="s">
        <v>3</v>
      </c>
      <c r="K68" s="22" t="s">
        <v>6</v>
      </c>
      <c r="L68" s="22" t="s">
        <v>3</v>
      </c>
      <c r="M68" s="22" t="s">
        <v>4</v>
      </c>
      <c r="N68" s="22" t="s">
        <v>5</v>
      </c>
      <c r="O68" s="22" t="s">
        <v>22</v>
      </c>
      <c r="P68" s="22" t="s">
        <v>3</v>
      </c>
      <c r="Q68" s="22" t="s">
        <v>3</v>
      </c>
      <c r="R68" s="22" t="s">
        <v>6</v>
      </c>
      <c r="S68" s="22" t="s">
        <v>3</v>
      </c>
      <c r="T68" s="22" t="s">
        <v>4</v>
      </c>
      <c r="U68" s="22" t="s">
        <v>5</v>
      </c>
      <c r="V68" s="22" t="s">
        <v>22</v>
      </c>
      <c r="W68" s="22" t="s">
        <v>3</v>
      </c>
      <c r="X68" s="22" t="s">
        <v>3</v>
      </c>
      <c r="Y68" s="22" t="s">
        <v>6</v>
      </c>
      <c r="Z68" s="22" t="s">
        <v>3</v>
      </c>
      <c r="AA68" s="22" t="s">
        <v>4</v>
      </c>
      <c r="AB68" s="22" t="s">
        <v>5</v>
      </c>
      <c r="AC68" s="22" t="s">
        <v>22</v>
      </c>
      <c r="AD68" s="22" t="s">
        <v>3</v>
      </c>
      <c r="AE68" s="22" t="s">
        <v>3</v>
      </c>
      <c r="AF68" s="22" t="s">
        <v>6</v>
      </c>
      <c r="AG68" s="22" t="s">
        <v>3</v>
      </c>
      <c r="AH68" s="22" t="s">
        <v>4</v>
      </c>
    </row>
    <row r="70" spans="1:36">
      <c r="A70" s="5" t="s">
        <v>19</v>
      </c>
    </row>
    <row r="71" spans="1:36">
      <c r="A71" s="12" t="s">
        <v>17</v>
      </c>
      <c r="E71" s="12">
        <v>1439923.31</v>
      </c>
      <c r="F71" s="12">
        <v>1458590.88</v>
      </c>
      <c r="G71" s="12">
        <v>1491163.68</v>
      </c>
      <c r="H71" s="12">
        <v>1531633.58</v>
      </c>
      <c r="K71" s="12">
        <v>661693.27</v>
      </c>
      <c r="L71" s="12">
        <v>740743.32</v>
      </c>
      <c r="M71" s="12">
        <v>751366.76</v>
      </c>
      <c r="N71" s="12">
        <v>782669.32</v>
      </c>
      <c r="O71" s="12">
        <v>829691.08</v>
      </c>
      <c r="R71" s="12">
        <v>891910.16</v>
      </c>
      <c r="S71" s="12">
        <v>1025912.91</v>
      </c>
      <c r="T71" s="12">
        <v>1093363.1200000001</v>
      </c>
      <c r="U71" s="12">
        <v>1125921.05</v>
      </c>
      <c r="V71" s="12">
        <v>1156599.8799999999</v>
      </c>
      <c r="Y71" s="12">
        <v>935651.52</v>
      </c>
      <c r="Z71" s="12">
        <v>1049138.3700000001</v>
      </c>
      <c r="AA71" s="12">
        <v>1084158.0900000001</v>
      </c>
      <c r="AB71" s="12">
        <v>1132773.52</v>
      </c>
      <c r="AC71" s="12">
        <v>1174914.6000000001</v>
      </c>
      <c r="AF71" s="12">
        <v>1287217</v>
      </c>
      <c r="AG71" s="12">
        <v>0</v>
      </c>
      <c r="AH71" s="12">
        <v>1323675.1000000001</v>
      </c>
      <c r="AI71" s="12">
        <f>SUM(E71:AH71)</f>
        <v>22968710.520000003</v>
      </c>
      <c r="AJ71" s="12">
        <f>+AI71/21</f>
        <v>1093748.1200000001</v>
      </c>
    </row>
    <row r="72" spans="1:36">
      <c r="A72" s="12" t="s">
        <v>18</v>
      </c>
      <c r="E72" s="12">
        <v>-246061.86000000007</v>
      </c>
      <c r="F72" s="12">
        <v>-246061.86</v>
      </c>
      <c r="G72" s="12">
        <v>-254786.07</v>
      </c>
      <c r="M72" s="12">
        <v>-254940.99</v>
      </c>
      <c r="N72" s="12">
        <v>-233467.31</v>
      </c>
      <c r="O72" s="12">
        <v>1006939.29</v>
      </c>
      <c r="R72" s="12">
        <v>963170.03</v>
      </c>
      <c r="T72" s="12">
        <v>504980.18</v>
      </c>
      <c r="U72" s="12">
        <v>503758.27</v>
      </c>
      <c r="V72" s="12">
        <v>494506.73</v>
      </c>
      <c r="Y72" s="12">
        <v>477341.82</v>
      </c>
      <c r="Z72" s="12">
        <v>408880.24</v>
      </c>
      <c r="AA72" s="12">
        <v>705529.13</v>
      </c>
      <c r="AB72" s="12">
        <v>633143.80000000005</v>
      </c>
      <c r="AC72" s="12">
        <v>653901.27</v>
      </c>
      <c r="AF72" s="12">
        <v>641115.09</v>
      </c>
      <c r="AG72" s="12">
        <v>0</v>
      </c>
      <c r="AH72" s="12">
        <v>347979.18</v>
      </c>
      <c r="AI72" s="12">
        <f>SUM(E72:AH72)</f>
        <v>6105926.9399999995</v>
      </c>
      <c r="AJ72" s="12">
        <f>+AI72/17</f>
        <v>359172.17294117645</v>
      </c>
    </row>
    <row r="73" spans="1:36" ht="15.75" thickBot="1">
      <c r="A73" s="14" t="s">
        <v>20</v>
      </c>
      <c r="E73" s="17">
        <f>SUM(E71:E72)</f>
        <v>1193861.45</v>
      </c>
      <c r="F73" s="17">
        <f t="shared" ref="F73:AJ73" si="6">SUM(F71:F72)</f>
        <v>1212529.02</v>
      </c>
      <c r="G73" s="17">
        <f t="shared" si="6"/>
        <v>1236377.6099999999</v>
      </c>
      <c r="H73" s="17">
        <f t="shared" si="6"/>
        <v>1531633.58</v>
      </c>
      <c r="I73" s="17">
        <f t="shared" si="6"/>
        <v>0</v>
      </c>
      <c r="J73" s="17">
        <f t="shared" si="6"/>
        <v>0</v>
      </c>
      <c r="K73" s="17">
        <f t="shared" si="6"/>
        <v>661693.27</v>
      </c>
      <c r="L73" s="17">
        <f t="shared" si="6"/>
        <v>740743.32</v>
      </c>
      <c r="M73" s="17">
        <f t="shared" si="6"/>
        <v>496425.77</v>
      </c>
      <c r="N73" s="17">
        <f t="shared" si="6"/>
        <v>549202.01</v>
      </c>
      <c r="O73" s="17">
        <f t="shared" si="6"/>
        <v>1836630.37</v>
      </c>
      <c r="P73" s="17">
        <f t="shared" si="6"/>
        <v>0</v>
      </c>
      <c r="Q73" s="17">
        <f t="shared" si="6"/>
        <v>0</v>
      </c>
      <c r="R73" s="17">
        <f t="shared" si="6"/>
        <v>1855080.19</v>
      </c>
      <c r="S73" s="17">
        <f t="shared" si="6"/>
        <v>1025912.91</v>
      </c>
      <c r="T73" s="17">
        <f t="shared" si="6"/>
        <v>1598343.3</v>
      </c>
      <c r="U73" s="17">
        <f t="shared" si="6"/>
        <v>1629679.32</v>
      </c>
      <c r="V73" s="17">
        <f t="shared" si="6"/>
        <v>1651106.6099999999</v>
      </c>
      <c r="W73" s="17">
        <f t="shared" si="6"/>
        <v>0</v>
      </c>
      <c r="X73" s="17">
        <f t="shared" si="6"/>
        <v>0</v>
      </c>
      <c r="Y73" s="17">
        <f t="shared" si="6"/>
        <v>1412993.34</v>
      </c>
      <c r="Z73" s="17">
        <f t="shared" si="6"/>
        <v>1458018.61</v>
      </c>
      <c r="AA73" s="17">
        <f t="shared" si="6"/>
        <v>1789687.2200000002</v>
      </c>
      <c r="AB73" s="17">
        <f t="shared" si="6"/>
        <v>1765917.32</v>
      </c>
      <c r="AC73" s="17">
        <f t="shared" si="6"/>
        <v>1828815.87</v>
      </c>
      <c r="AD73" s="17">
        <f t="shared" si="6"/>
        <v>0</v>
      </c>
      <c r="AE73" s="17">
        <f t="shared" si="6"/>
        <v>0</v>
      </c>
      <c r="AF73" s="17">
        <f t="shared" si="6"/>
        <v>1928332.0899999999</v>
      </c>
      <c r="AG73" s="17">
        <f t="shared" si="6"/>
        <v>0</v>
      </c>
      <c r="AH73" s="17">
        <f t="shared" si="6"/>
        <v>1671654.28</v>
      </c>
      <c r="AI73" s="17">
        <f t="shared" si="6"/>
        <v>29074637.460000001</v>
      </c>
      <c r="AJ73" s="17">
        <f t="shared" si="6"/>
        <v>1452920.2929411766</v>
      </c>
    </row>
    <row r="74" spans="1:36" ht="15.75" thickTop="1">
      <c r="A74" t="s">
        <v>21</v>
      </c>
      <c r="K74" s="12">
        <v>1000000</v>
      </c>
      <c r="L74" s="12">
        <v>1000000</v>
      </c>
      <c r="M74" s="12">
        <v>1000000</v>
      </c>
      <c r="N74" s="12">
        <v>1000000</v>
      </c>
      <c r="Y74" s="12">
        <v>300000</v>
      </c>
      <c r="Z74" s="12">
        <v>300000</v>
      </c>
      <c r="AI74" s="12">
        <f>SUM(E73:AH73)</f>
        <v>29074637.460000001</v>
      </c>
    </row>
    <row r="75" spans="1:36">
      <c r="K75" s="12">
        <f>+K74+K73</f>
        <v>1661693.27</v>
      </c>
      <c r="L75" s="12">
        <f>+L74+L73</f>
        <v>1740743.3199999998</v>
      </c>
      <c r="M75" s="12">
        <f>+M74+M73</f>
        <v>1496425.77</v>
      </c>
      <c r="N75" s="12">
        <f>+N74+N73</f>
        <v>1549202.01</v>
      </c>
      <c r="Y75" s="12">
        <f>+Y73+Y74</f>
        <v>1712993.34</v>
      </c>
      <c r="Z75" s="12">
        <f>+Z73+Z74</f>
        <v>1758018.61</v>
      </c>
    </row>
    <row r="77" spans="1:36">
      <c r="A77" s="18" t="s">
        <v>48</v>
      </c>
      <c r="AB77" s="12">
        <f>AB71-AA71</f>
        <v>48615.429999999935</v>
      </c>
      <c r="AC77" s="12">
        <f>AC71-AB71</f>
        <v>42141.080000000075</v>
      </c>
      <c r="AF77" s="12">
        <f>AF71-AC71</f>
        <v>112302.39999999991</v>
      </c>
    </row>
    <row r="78" spans="1:36">
      <c r="A78" s="18" t="s">
        <v>49</v>
      </c>
      <c r="AB78" s="12">
        <f>AB72-AA72</f>
        <v>-72385.329999999958</v>
      </c>
      <c r="AC78" s="12">
        <f t="shared" ref="AC78:AE78" si="7">AC72-AB72</f>
        <v>20757.469999999972</v>
      </c>
      <c r="AD78" s="12">
        <f t="shared" si="7"/>
        <v>-653901.27</v>
      </c>
      <c r="AE78" s="12">
        <f t="shared" si="7"/>
        <v>0</v>
      </c>
      <c r="AF78" s="12">
        <f>AF72-AC72</f>
        <v>-12786.180000000051</v>
      </c>
    </row>
    <row r="81" spans="1:36" ht="18.75">
      <c r="A81" s="1" t="s">
        <v>0</v>
      </c>
    </row>
    <row r="82" spans="1:36">
      <c r="A82" s="18" t="s">
        <v>24</v>
      </c>
      <c r="B82" s="18" t="s">
        <v>25</v>
      </c>
      <c r="AI82" s="97" t="s">
        <v>10</v>
      </c>
      <c r="AJ82" s="19" t="s">
        <v>12</v>
      </c>
    </row>
    <row r="83" spans="1:36">
      <c r="A83" s="18" t="s">
        <v>39</v>
      </c>
      <c r="B83" s="18">
        <v>2011</v>
      </c>
      <c r="AI83" s="49" t="s">
        <v>11</v>
      </c>
      <c r="AJ83" s="19" t="s">
        <v>9</v>
      </c>
    </row>
    <row r="84" spans="1:36">
      <c r="E84" s="28">
        <v>1</v>
      </c>
      <c r="F84" s="28">
        <v>3</v>
      </c>
      <c r="G84" s="28">
        <v>4</v>
      </c>
      <c r="H84" s="28">
        <v>6</v>
      </c>
      <c r="I84" s="28">
        <v>2</v>
      </c>
      <c r="J84" s="28">
        <v>2</v>
      </c>
      <c r="K84" s="28">
        <v>7</v>
      </c>
      <c r="L84" s="28">
        <v>8</v>
      </c>
      <c r="M84" s="28">
        <v>9</v>
      </c>
      <c r="N84" s="28">
        <v>10</v>
      </c>
      <c r="O84" s="28">
        <v>13</v>
      </c>
      <c r="P84" s="28">
        <v>13</v>
      </c>
      <c r="R84" s="28">
        <v>14</v>
      </c>
      <c r="S84" s="28">
        <v>15</v>
      </c>
      <c r="T84" s="28">
        <v>16</v>
      </c>
      <c r="U84" s="28">
        <v>17</v>
      </c>
      <c r="V84" s="28">
        <v>20</v>
      </c>
      <c r="W84" s="28">
        <v>13</v>
      </c>
      <c r="Y84" s="28">
        <v>21</v>
      </c>
      <c r="Z84" s="28">
        <v>22</v>
      </c>
      <c r="AA84" s="47">
        <v>23</v>
      </c>
      <c r="AB84" s="47">
        <v>24</v>
      </c>
      <c r="AC84" s="47">
        <v>27</v>
      </c>
      <c r="AD84" s="47">
        <v>13</v>
      </c>
      <c r="AE84" s="48"/>
      <c r="AF84" s="47">
        <v>28</v>
      </c>
      <c r="AG84" s="47">
        <v>29</v>
      </c>
      <c r="AH84" s="47">
        <v>30</v>
      </c>
      <c r="AI84" s="28"/>
    </row>
    <row r="85" spans="1:36">
      <c r="E85" s="22" t="s">
        <v>5</v>
      </c>
      <c r="F85" s="22" t="s">
        <v>22</v>
      </c>
      <c r="G85" s="22" t="s">
        <v>6</v>
      </c>
      <c r="H85" s="22" t="s">
        <v>3</v>
      </c>
      <c r="I85" s="22" t="s">
        <v>3</v>
      </c>
      <c r="J85" s="22" t="s">
        <v>3</v>
      </c>
      <c r="K85" s="22" t="s">
        <v>4</v>
      </c>
      <c r="L85" s="22" t="s">
        <v>5</v>
      </c>
      <c r="M85" s="22" t="s">
        <v>22</v>
      </c>
      <c r="N85" s="22" t="s">
        <v>6</v>
      </c>
      <c r="O85" s="22" t="s">
        <v>3</v>
      </c>
      <c r="P85" s="22" t="s">
        <v>3</v>
      </c>
      <c r="Q85" s="22" t="s">
        <v>3</v>
      </c>
      <c r="R85" s="22" t="s">
        <v>4</v>
      </c>
      <c r="S85" s="22" t="s">
        <v>5</v>
      </c>
      <c r="T85" s="22" t="s">
        <v>22</v>
      </c>
      <c r="U85" s="22" t="s">
        <v>6</v>
      </c>
      <c r="V85" s="22" t="s">
        <v>3</v>
      </c>
      <c r="W85" s="22" t="s">
        <v>3</v>
      </c>
      <c r="X85" s="22" t="s">
        <v>3</v>
      </c>
      <c r="Y85" s="22" t="s">
        <v>4</v>
      </c>
      <c r="Z85" s="22" t="s">
        <v>5</v>
      </c>
      <c r="AA85" s="22" t="s">
        <v>22</v>
      </c>
      <c r="AB85" s="22" t="s">
        <v>6</v>
      </c>
      <c r="AC85" s="22" t="s">
        <v>3</v>
      </c>
      <c r="AD85" s="22" t="s">
        <v>3</v>
      </c>
      <c r="AE85" s="22" t="s">
        <v>3</v>
      </c>
      <c r="AF85" s="22" t="s">
        <v>4</v>
      </c>
      <c r="AG85" s="22" t="s">
        <v>5</v>
      </c>
      <c r="AH85" s="22" t="s">
        <v>22</v>
      </c>
      <c r="AI85" s="22"/>
    </row>
    <row r="87" spans="1:36">
      <c r="A87" s="5" t="s">
        <v>19</v>
      </c>
    </row>
    <row r="88" spans="1:36">
      <c r="A88" s="12" t="s">
        <v>17</v>
      </c>
      <c r="E88" s="12">
        <v>1473424.26</v>
      </c>
      <c r="F88" s="12">
        <v>1510234.97</v>
      </c>
      <c r="H88" s="12">
        <v>1139068</v>
      </c>
      <c r="K88" s="12">
        <v>1164911.47</v>
      </c>
      <c r="L88" s="12">
        <v>1206531.4099999999</v>
      </c>
      <c r="N88" s="12">
        <v>1345897.85</v>
      </c>
      <c r="O88" s="12">
        <v>1376588.19</v>
      </c>
      <c r="R88" s="12">
        <v>1412419.72</v>
      </c>
      <c r="S88" s="12">
        <v>439394.29</v>
      </c>
      <c r="T88" s="12">
        <v>523609.61</v>
      </c>
      <c r="U88" s="12">
        <v>611494.99</v>
      </c>
      <c r="V88" s="12">
        <v>665623.92000000004</v>
      </c>
      <c r="Y88" s="12">
        <v>765970.54</v>
      </c>
      <c r="Z88" s="12">
        <v>794197.61</v>
      </c>
      <c r="AA88" s="12">
        <v>824886.12</v>
      </c>
      <c r="AB88" s="12">
        <v>951401.93</v>
      </c>
      <c r="AC88" s="12">
        <v>947805.12</v>
      </c>
      <c r="AF88" s="12">
        <v>1030671.91</v>
      </c>
      <c r="AG88" s="12">
        <v>1092432.01</v>
      </c>
      <c r="AH88" s="12">
        <v>1168443.27</v>
      </c>
      <c r="AI88" s="12">
        <f>SUM(E88:AH88)</f>
        <v>20445007.189999998</v>
      </c>
      <c r="AJ88" s="12">
        <f>+AI88/20</f>
        <v>1022250.3594999999</v>
      </c>
    </row>
    <row r="89" spans="1:36">
      <c r="A89" s="12" t="s">
        <v>18</v>
      </c>
      <c r="E89" s="16">
        <v>344591</v>
      </c>
      <c r="F89" s="12">
        <v>340156.27</v>
      </c>
      <c r="H89" s="12">
        <v>260300.39</v>
      </c>
      <c r="K89" s="12">
        <v>786280.76</v>
      </c>
      <c r="L89" s="12">
        <v>777843.16</v>
      </c>
      <c r="N89" s="12">
        <v>733397.22</v>
      </c>
      <c r="O89" s="12">
        <v>546919.84</v>
      </c>
      <c r="R89" s="12">
        <v>335750.25</v>
      </c>
      <c r="S89" s="12">
        <v>131749.69</v>
      </c>
      <c r="T89" s="12">
        <v>413616.06</v>
      </c>
      <c r="U89" s="12">
        <v>1208363.25</v>
      </c>
      <c r="V89" s="12">
        <v>1156752.23</v>
      </c>
      <c r="Y89" s="12">
        <v>1123924.5900000001</v>
      </c>
      <c r="Z89" s="12">
        <v>1104228.8700000001</v>
      </c>
      <c r="AA89" s="12">
        <v>934007.46</v>
      </c>
      <c r="AB89" s="12">
        <v>937327.71</v>
      </c>
      <c r="AC89" s="12">
        <v>900861.49</v>
      </c>
      <c r="AF89" s="12">
        <v>770370.87</v>
      </c>
      <c r="AG89" s="12">
        <v>540338.02</v>
      </c>
      <c r="AH89" s="12">
        <v>350769.12</v>
      </c>
      <c r="AI89" s="12">
        <f>SUM(E89:AH89)</f>
        <v>13697548.249999998</v>
      </c>
      <c r="AJ89" s="12">
        <f>+AI89/20</f>
        <v>684877.41249999986</v>
      </c>
    </row>
    <row r="90" spans="1:36" ht="15.75" thickBot="1">
      <c r="A90" s="14" t="s">
        <v>20</v>
      </c>
      <c r="E90" s="17">
        <f>SUM(E88:E89)</f>
        <v>1818015.26</v>
      </c>
      <c r="F90" s="17">
        <f t="shared" ref="F90:AH90" si="8">SUM(F88:F89)</f>
        <v>1850391.24</v>
      </c>
      <c r="G90" s="17">
        <f t="shared" si="8"/>
        <v>0</v>
      </c>
      <c r="H90" s="17">
        <f t="shared" si="8"/>
        <v>1399368.3900000001</v>
      </c>
      <c r="I90" s="17">
        <f t="shared" si="8"/>
        <v>0</v>
      </c>
      <c r="J90" s="17">
        <f t="shared" si="8"/>
        <v>0</v>
      </c>
      <c r="K90" s="17">
        <f t="shared" si="8"/>
        <v>1951192.23</v>
      </c>
      <c r="L90" s="17">
        <f t="shared" si="8"/>
        <v>1984374.5699999998</v>
      </c>
      <c r="M90" s="17">
        <f t="shared" si="8"/>
        <v>0</v>
      </c>
      <c r="N90" s="17">
        <f t="shared" si="8"/>
        <v>2079295.07</v>
      </c>
      <c r="O90" s="17">
        <f t="shared" si="8"/>
        <v>1923508.0299999998</v>
      </c>
      <c r="P90" s="17">
        <f t="shared" si="8"/>
        <v>0</v>
      </c>
      <c r="Q90" s="17">
        <f t="shared" si="8"/>
        <v>0</v>
      </c>
      <c r="R90" s="17">
        <f t="shared" si="8"/>
        <v>1748169.97</v>
      </c>
      <c r="S90" s="17">
        <f t="shared" si="8"/>
        <v>571143.98</v>
      </c>
      <c r="T90" s="17">
        <f t="shared" si="8"/>
        <v>937225.66999999993</v>
      </c>
      <c r="U90" s="17">
        <f t="shared" si="8"/>
        <v>1819858.24</v>
      </c>
      <c r="V90" s="17">
        <f t="shared" si="8"/>
        <v>1822376.15</v>
      </c>
      <c r="W90" s="17">
        <f t="shared" si="8"/>
        <v>0</v>
      </c>
      <c r="X90" s="17">
        <f t="shared" si="8"/>
        <v>0</v>
      </c>
      <c r="Y90" s="17">
        <f t="shared" si="8"/>
        <v>1889895.1300000001</v>
      </c>
      <c r="Z90" s="17">
        <f t="shared" si="8"/>
        <v>1898426.48</v>
      </c>
      <c r="AA90" s="17">
        <f t="shared" si="8"/>
        <v>1758893.58</v>
      </c>
      <c r="AB90" s="17">
        <f t="shared" si="8"/>
        <v>1888729.6400000001</v>
      </c>
      <c r="AC90" s="17">
        <f t="shared" si="8"/>
        <v>1848666.6099999999</v>
      </c>
      <c r="AD90" s="17">
        <f t="shared" si="8"/>
        <v>0</v>
      </c>
      <c r="AE90" s="17">
        <f t="shared" si="8"/>
        <v>0</v>
      </c>
      <c r="AF90" s="17">
        <f t="shared" si="8"/>
        <v>1801042.78</v>
      </c>
      <c r="AG90" s="17">
        <f t="shared" si="8"/>
        <v>1632770.03</v>
      </c>
      <c r="AH90" s="17">
        <f t="shared" si="8"/>
        <v>1519212.3900000001</v>
      </c>
      <c r="AI90" s="17">
        <f>SUM(AI88:AI89)</f>
        <v>34142555.439999998</v>
      </c>
      <c r="AJ90" s="17">
        <f>SUM(AJ88:AJ89)</f>
        <v>1707127.7719999999</v>
      </c>
    </row>
    <row r="91" spans="1:36" ht="15.75" thickTop="1">
      <c r="A91" t="s">
        <v>21</v>
      </c>
      <c r="H91" s="12">
        <v>500000</v>
      </c>
      <c r="S91" s="12">
        <v>1000000</v>
      </c>
      <c r="T91" s="12">
        <v>1000000</v>
      </c>
    </row>
    <row r="92" spans="1:36">
      <c r="H92" s="12">
        <f>+H90+H91</f>
        <v>1899368.3900000001</v>
      </c>
      <c r="S92" s="12">
        <f>+S91+S90</f>
        <v>1571143.98</v>
      </c>
      <c r="T92" s="12">
        <f>+T91+T90</f>
        <v>1937225.67</v>
      </c>
    </row>
    <row r="93" spans="1:36">
      <c r="A93" s="18" t="s">
        <v>48</v>
      </c>
      <c r="E93" s="12">
        <f>E88-AH71</f>
        <v>149749.15999999992</v>
      </c>
    </row>
    <row r="94" spans="1:36">
      <c r="A94" s="18" t="s">
        <v>49</v>
      </c>
      <c r="E94" s="12">
        <f>E89-AH72</f>
        <v>-3388.179999999993</v>
      </c>
    </row>
    <row r="96" spans="1:36" ht="18.75">
      <c r="A96" s="1" t="s">
        <v>0</v>
      </c>
    </row>
    <row r="97" spans="1:36">
      <c r="A97" s="18" t="s">
        <v>24</v>
      </c>
      <c r="B97" s="18" t="s">
        <v>25</v>
      </c>
      <c r="AI97" s="97" t="s">
        <v>10</v>
      </c>
      <c r="AJ97" s="19" t="s">
        <v>12</v>
      </c>
    </row>
    <row r="98" spans="1:36">
      <c r="A98" s="18" t="s">
        <v>40</v>
      </c>
      <c r="B98" s="18">
        <v>2011</v>
      </c>
      <c r="AI98" s="49" t="s">
        <v>11</v>
      </c>
      <c r="AJ98" s="19" t="s">
        <v>9</v>
      </c>
    </row>
    <row r="99" spans="1:36">
      <c r="E99" s="28">
        <v>1</v>
      </c>
      <c r="F99" s="28">
        <v>4</v>
      </c>
      <c r="G99" s="28">
        <v>5</v>
      </c>
      <c r="H99" s="28">
        <v>6</v>
      </c>
      <c r="I99" s="28">
        <v>2</v>
      </c>
      <c r="J99" s="28">
        <v>7</v>
      </c>
      <c r="K99" s="28">
        <v>7</v>
      </c>
      <c r="L99" s="28">
        <v>8</v>
      </c>
      <c r="M99" s="28">
        <v>11</v>
      </c>
      <c r="N99" s="28">
        <v>12</v>
      </c>
      <c r="O99" s="28">
        <v>13</v>
      </c>
      <c r="Q99" s="28">
        <v>14</v>
      </c>
      <c r="R99" s="28">
        <v>14</v>
      </c>
      <c r="S99" s="28">
        <v>15</v>
      </c>
      <c r="T99" s="28">
        <v>18</v>
      </c>
      <c r="U99" s="28">
        <v>19</v>
      </c>
      <c r="V99" s="28">
        <v>20</v>
      </c>
      <c r="W99" s="28">
        <v>13</v>
      </c>
      <c r="Y99" s="28">
        <v>21</v>
      </c>
      <c r="Z99" s="28">
        <v>22</v>
      </c>
      <c r="AA99" s="47">
        <v>25</v>
      </c>
      <c r="AB99" s="47">
        <v>26</v>
      </c>
      <c r="AC99" s="47">
        <v>27</v>
      </c>
      <c r="AD99" s="47">
        <v>13</v>
      </c>
      <c r="AE99" s="48"/>
      <c r="AF99" s="47">
        <v>28</v>
      </c>
      <c r="AG99" s="47">
        <v>29</v>
      </c>
      <c r="AH99" s="46"/>
    </row>
    <row r="100" spans="1:36">
      <c r="E100" s="20" t="s">
        <v>6</v>
      </c>
      <c r="F100" s="49" t="s">
        <v>3</v>
      </c>
      <c r="G100" s="49" t="s">
        <v>4</v>
      </c>
      <c r="H100" s="49" t="s">
        <v>5</v>
      </c>
      <c r="I100" s="49" t="s">
        <v>4</v>
      </c>
      <c r="J100" s="49" t="s">
        <v>5</v>
      </c>
      <c r="K100" s="49" t="s">
        <v>22</v>
      </c>
      <c r="L100" s="49" t="s">
        <v>6</v>
      </c>
      <c r="M100" s="49" t="s">
        <v>3</v>
      </c>
      <c r="N100" s="49" t="s">
        <v>4</v>
      </c>
      <c r="O100" s="49" t="s">
        <v>5</v>
      </c>
      <c r="P100" s="49" t="s">
        <v>4</v>
      </c>
      <c r="Q100" s="49" t="s">
        <v>5</v>
      </c>
      <c r="R100" s="49" t="s">
        <v>22</v>
      </c>
      <c r="S100" s="49" t="s">
        <v>6</v>
      </c>
      <c r="T100" s="49" t="s">
        <v>3</v>
      </c>
      <c r="U100" s="49" t="s">
        <v>4</v>
      </c>
      <c r="V100" s="49" t="s">
        <v>5</v>
      </c>
      <c r="W100" s="49" t="s">
        <v>4</v>
      </c>
      <c r="X100" s="49" t="s">
        <v>5</v>
      </c>
      <c r="Y100" s="49" t="s">
        <v>22</v>
      </c>
      <c r="Z100" s="49" t="s">
        <v>6</v>
      </c>
      <c r="AA100" s="49" t="s">
        <v>3</v>
      </c>
      <c r="AB100" s="49" t="s">
        <v>4</v>
      </c>
      <c r="AC100" s="49" t="s">
        <v>5</v>
      </c>
      <c r="AD100" s="49" t="s">
        <v>4</v>
      </c>
      <c r="AE100" s="49" t="s">
        <v>5</v>
      </c>
      <c r="AF100" s="49" t="s">
        <v>22</v>
      </c>
      <c r="AG100" s="49" t="s">
        <v>6</v>
      </c>
    </row>
    <row r="102" spans="1:36">
      <c r="A102" s="5" t="s">
        <v>19</v>
      </c>
    </row>
    <row r="103" spans="1:36">
      <c r="A103" s="12" t="s">
        <v>17</v>
      </c>
      <c r="E103" s="12">
        <v>1161603.69</v>
      </c>
      <c r="G103" s="12">
        <v>1189511.03</v>
      </c>
      <c r="H103" s="12">
        <v>1213173.25</v>
      </c>
      <c r="K103" s="12">
        <v>734108.14</v>
      </c>
      <c r="L103" s="12">
        <v>836262.16</v>
      </c>
      <c r="M103" s="12">
        <v>900989.47</v>
      </c>
      <c r="N103" s="12">
        <v>943409.02</v>
      </c>
      <c r="O103" s="12">
        <v>966686.27</v>
      </c>
      <c r="R103" s="12">
        <v>1006831.17</v>
      </c>
      <c r="S103" s="12">
        <v>1089094.44</v>
      </c>
      <c r="T103" s="12">
        <v>1178086.77</v>
      </c>
      <c r="U103" s="12">
        <v>1227857.8700000001</v>
      </c>
      <c r="V103" s="12">
        <v>757360.62</v>
      </c>
      <c r="Y103" s="12">
        <v>865119.04</v>
      </c>
      <c r="Z103" s="12">
        <v>957635.92</v>
      </c>
      <c r="AA103" s="12">
        <v>1018044.55</v>
      </c>
      <c r="AB103" s="12">
        <v>1089546.75</v>
      </c>
      <c r="AC103" s="12">
        <v>617176.4</v>
      </c>
      <c r="AF103" s="12">
        <v>705592.13</v>
      </c>
      <c r="AG103" s="12">
        <v>785504.89</v>
      </c>
      <c r="AI103" s="12">
        <f>SUM(E103:AH103)</f>
        <v>19243593.579999994</v>
      </c>
      <c r="AJ103" s="12">
        <f>+AI103/20</f>
        <v>962179.67899999977</v>
      </c>
    </row>
    <row r="104" spans="1:36">
      <c r="A104" s="12" t="s">
        <v>18</v>
      </c>
      <c r="E104" s="12">
        <v>373845.89399999997</v>
      </c>
      <c r="G104" s="12">
        <v>373845.84</v>
      </c>
      <c r="H104" s="12">
        <v>370023.61</v>
      </c>
      <c r="K104" s="12">
        <v>370023.61</v>
      </c>
      <c r="L104" s="12">
        <v>857172.01</v>
      </c>
      <c r="M104" s="12">
        <v>466796.23</v>
      </c>
      <c r="N104" s="12">
        <v>315934.86</v>
      </c>
      <c r="O104" s="12">
        <v>307775.34999999998</v>
      </c>
      <c r="R104" s="12">
        <v>308949.11</v>
      </c>
      <c r="S104" s="12">
        <v>302213.13</v>
      </c>
      <c r="T104" s="12">
        <v>303192.84999999998</v>
      </c>
      <c r="U104" s="12">
        <v>298460.09999999998</v>
      </c>
      <c r="V104" s="12">
        <v>365827.09</v>
      </c>
      <c r="Y104" s="12">
        <v>355594.31</v>
      </c>
      <c r="Z104" s="12">
        <v>745644.8</v>
      </c>
      <c r="AA104" s="12">
        <v>720807.95</v>
      </c>
      <c r="AB104" s="12">
        <v>171074.53</v>
      </c>
      <c r="AC104" s="12">
        <v>97264.03</v>
      </c>
      <c r="AF104" s="12">
        <v>542670.72</v>
      </c>
      <c r="AG104" s="12">
        <v>533991.91</v>
      </c>
      <c r="AI104" s="12">
        <f>SUM(E104:AH104)</f>
        <v>8181107.9339999985</v>
      </c>
      <c r="AJ104" s="12">
        <f>+AI104/20</f>
        <v>409055.39669999992</v>
      </c>
    </row>
    <row r="105" spans="1:36" ht="15.75" thickBot="1">
      <c r="A105" s="14" t="s">
        <v>20</v>
      </c>
      <c r="E105" s="17">
        <f>SUM(E103:E104)</f>
        <v>1535449.5839999998</v>
      </c>
      <c r="F105" s="17">
        <f t="shared" ref="F105:AJ105" si="9">SUM(F103:F104)</f>
        <v>0</v>
      </c>
      <c r="G105" s="17">
        <f t="shared" si="9"/>
        <v>1563356.87</v>
      </c>
      <c r="H105" s="17">
        <f t="shared" si="9"/>
        <v>1583196.8599999999</v>
      </c>
      <c r="I105" s="17">
        <f t="shared" si="9"/>
        <v>0</v>
      </c>
      <c r="J105" s="17">
        <f t="shared" si="9"/>
        <v>0</v>
      </c>
      <c r="K105" s="17">
        <f t="shared" si="9"/>
        <v>1104131.75</v>
      </c>
      <c r="L105" s="17">
        <f t="shared" si="9"/>
        <v>1693434.17</v>
      </c>
      <c r="M105" s="17">
        <f t="shared" si="9"/>
        <v>1367785.7</v>
      </c>
      <c r="N105" s="17">
        <f t="shared" si="9"/>
        <v>1259343.8799999999</v>
      </c>
      <c r="O105" s="17">
        <f t="shared" si="9"/>
        <v>1274461.6200000001</v>
      </c>
      <c r="P105" s="17">
        <f t="shared" si="9"/>
        <v>0</v>
      </c>
      <c r="Q105" s="17">
        <f t="shared" si="9"/>
        <v>0</v>
      </c>
      <c r="R105" s="17">
        <f t="shared" si="9"/>
        <v>1315780.28</v>
      </c>
      <c r="S105" s="17">
        <f t="shared" si="9"/>
        <v>1391307.5699999998</v>
      </c>
      <c r="T105" s="17">
        <f t="shared" si="9"/>
        <v>1481279.62</v>
      </c>
      <c r="U105" s="17">
        <f t="shared" si="9"/>
        <v>1526317.9700000002</v>
      </c>
      <c r="V105" s="17">
        <f t="shared" si="9"/>
        <v>1123187.71</v>
      </c>
      <c r="W105" s="17">
        <f t="shared" si="9"/>
        <v>0</v>
      </c>
      <c r="X105" s="17">
        <f t="shared" si="9"/>
        <v>0</v>
      </c>
      <c r="Y105" s="17">
        <f t="shared" si="9"/>
        <v>1220713.3500000001</v>
      </c>
      <c r="Z105" s="17">
        <f t="shared" si="9"/>
        <v>1703280.7200000002</v>
      </c>
      <c r="AA105" s="17">
        <f t="shared" si="9"/>
        <v>1738852.5</v>
      </c>
      <c r="AB105" s="17">
        <f t="shared" si="9"/>
        <v>1260621.28</v>
      </c>
      <c r="AC105" s="17">
        <f t="shared" si="9"/>
        <v>714440.43</v>
      </c>
      <c r="AD105" s="17">
        <f t="shared" si="9"/>
        <v>0</v>
      </c>
      <c r="AE105" s="17">
        <f t="shared" si="9"/>
        <v>0</v>
      </c>
      <c r="AF105" s="17">
        <f t="shared" si="9"/>
        <v>1248262.8500000001</v>
      </c>
      <c r="AG105" s="17">
        <f t="shared" si="9"/>
        <v>1319496.8</v>
      </c>
      <c r="AH105" s="17">
        <f t="shared" si="9"/>
        <v>0</v>
      </c>
      <c r="AI105" s="17">
        <f t="shared" si="9"/>
        <v>27424701.513999991</v>
      </c>
      <c r="AJ105" s="17">
        <f t="shared" si="9"/>
        <v>1371235.0756999997</v>
      </c>
    </row>
    <row r="106" spans="1:36" ht="15.75" thickTop="1">
      <c r="A106" t="s">
        <v>21</v>
      </c>
      <c r="K106" s="12">
        <v>500000</v>
      </c>
      <c r="V106" s="12">
        <v>500000</v>
      </c>
      <c r="Y106" s="12">
        <v>500000</v>
      </c>
      <c r="AC106" s="12">
        <v>500000</v>
      </c>
    </row>
    <row r="107" spans="1:36">
      <c r="K107" s="12">
        <f>+K105+K106</f>
        <v>1604131.75</v>
      </c>
      <c r="V107" s="12">
        <f>+V106+V105</f>
        <v>1623187.71</v>
      </c>
      <c r="Y107" s="12">
        <f>+Y106+Y105</f>
        <v>1720713.35</v>
      </c>
      <c r="AC107" s="12">
        <f>+AC106+AC105</f>
        <v>1214440.4300000002</v>
      </c>
    </row>
    <row r="111" spans="1:36" ht="18.75">
      <c r="A111" s="1" t="s">
        <v>0</v>
      </c>
    </row>
    <row r="112" spans="1:36">
      <c r="A112" s="18" t="s">
        <v>24</v>
      </c>
      <c r="B112" s="18" t="s">
        <v>25</v>
      </c>
    </row>
    <row r="113" spans="1:37">
      <c r="A113" s="18" t="s">
        <v>41</v>
      </c>
      <c r="B113" s="18">
        <v>2011</v>
      </c>
    </row>
    <row r="114" spans="1:37">
      <c r="E114" s="28">
        <v>1</v>
      </c>
      <c r="F114" s="28">
        <v>2</v>
      </c>
      <c r="G114" s="28">
        <v>3</v>
      </c>
      <c r="H114" s="28">
        <v>4</v>
      </c>
      <c r="I114" s="28">
        <v>2</v>
      </c>
      <c r="J114" s="28">
        <v>7</v>
      </c>
      <c r="K114" s="28">
        <v>5</v>
      </c>
      <c r="L114" s="28">
        <v>8</v>
      </c>
      <c r="M114" s="28">
        <v>9</v>
      </c>
      <c r="N114" s="28">
        <v>10</v>
      </c>
      <c r="O114" s="28">
        <v>11</v>
      </c>
      <c r="Q114" s="28">
        <v>14</v>
      </c>
      <c r="R114" s="28">
        <v>12</v>
      </c>
      <c r="S114" s="28">
        <v>15</v>
      </c>
      <c r="T114" s="28">
        <v>16</v>
      </c>
      <c r="U114" s="28">
        <v>17</v>
      </c>
      <c r="V114" s="28">
        <v>18</v>
      </c>
      <c r="W114" s="28">
        <v>13</v>
      </c>
      <c r="Y114" s="28">
        <v>19</v>
      </c>
      <c r="Z114" s="28">
        <v>22</v>
      </c>
      <c r="AA114" s="47">
        <v>23</v>
      </c>
      <c r="AB114" s="47">
        <v>24</v>
      </c>
      <c r="AC114" s="47">
        <v>25</v>
      </c>
      <c r="AD114" s="47">
        <v>13</v>
      </c>
      <c r="AE114" s="48"/>
      <c r="AF114" s="47">
        <v>26</v>
      </c>
      <c r="AG114" s="47">
        <v>29</v>
      </c>
      <c r="AH114" s="47">
        <v>30</v>
      </c>
      <c r="AI114" s="47">
        <v>31</v>
      </c>
      <c r="AJ114" s="19" t="s">
        <v>10</v>
      </c>
      <c r="AK114" s="19" t="s">
        <v>12</v>
      </c>
    </row>
    <row r="115" spans="1:37">
      <c r="E115" s="49" t="s">
        <v>3</v>
      </c>
      <c r="F115" s="49" t="s">
        <v>4</v>
      </c>
      <c r="G115" s="49" t="s">
        <v>5</v>
      </c>
      <c r="H115" s="49" t="s">
        <v>22</v>
      </c>
      <c r="I115" s="49" t="s">
        <v>5</v>
      </c>
      <c r="J115" s="49" t="s">
        <v>22</v>
      </c>
      <c r="K115" s="49" t="s">
        <v>6</v>
      </c>
      <c r="L115" s="49" t="s">
        <v>3</v>
      </c>
      <c r="M115" s="49" t="s">
        <v>4</v>
      </c>
      <c r="N115" s="49" t="s">
        <v>5</v>
      </c>
      <c r="O115" s="49" t="s">
        <v>22</v>
      </c>
      <c r="P115" s="49" t="s">
        <v>5</v>
      </c>
      <c r="Q115" s="49" t="s">
        <v>22</v>
      </c>
      <c r="R115" s="49" t="s">
        <v>6</v>
      </c>
      <c r="S115" s="49" t="s">
        <v>3</v>
      </c>
      <c r="T115" s="49" t="s">
        <v>4</v>
      </c>
      <c r="U115" s="49" t="s">
        <v>5</v>
      </c>
      <c r="V115" s="49" t="s">
        <v>22</v>
      </c>
      <c r="W115" s="49" t="s">
        <v>5</v>
      </c>
      <c r="X115" s="49" t="s">
        <v>22</v>
      </c>
      <c r="Y115" s="49" t="s">
        <v>6</v>
      </c>
      <c r="Z115" s="49" t="s">
        <v>3</v>
      </c>
      <c r="AA115" s="49" t="s">
        <v>4</v>
      </c>
      <c r="AB115" s="49" t="s">
        <v>5</v>
      </c>
      <c r="AC115" s="49" t="s">
        <v>22</v>
      </c>
      <c r="AD115" s="49" t="s">
        <v>5</v>
      </c>
      <c r="AE115" s="49" t="s">
        <v>22</v>
      </c>
      <c r="AF115" s="49" t="s">
        <v>6</v>
      </c>
      <c r="AG115" s="49" t="s">
        <v>3</v>
      </c>
      <c r="AH115" s="49" t="s">
        <v>4</v>
      </c>
      <c r="AI115" s="49" t="s">
        <v>5</v>
      </c>
      <c r="AJ115" s="49" t="s">
        <v>11</v>
      </c>
      <c r="AK115" s="19" t="s">
        <v>9</v>
      </c>
    </row>
    <row r="117" spans="1:37">
      <c r="A117" s="5" t="s">
        <v>19</v>
      </c>
    </row>
    <row r="118" spans="1:37">
      <c r="A118" s="12" t="s">
        <v>17</v>
      </c>
      <c r="E118" s="12">
        <v>870660.92</v>
      </c>
      <c r="F118" s="12">
        <v>893902.02</v>
      </c>
      <c r="G118" s="12">
        <v>928962.75</v>
      </c>
      <c r="H118" s="12">
        <v>995085.72</v>
      </c>
      <c r="K118" s="12">
        <v>1082063</v>
      </c>
      <c r="L118" s="12">
        <v>1144825.5900000001</v>
      </c>
      <c r="M118" s="12">
        <v>1184445.03</v>
      </c>
      <c r="N118" s="12">
        <v>1208357.6000000001</v>
      </c>
      <c r="O118" s="12">
        <v>1274909.94</v>
      </c>
      <c r="R118" s="12">
        <v>905269.72</v>
      </c>
      <c r="S118" s="12">
        <v>996862.22</v>
      </c>
      <c r="T118" s="12">
        <v>1020707.59</v>
      </c>
      <c r="U118" s="12">
        <v>1057681.3500000001</v>
      </c>
      <c r="V118" s="12">
        <v>1135928.6000000001</v>
      </c>
      <c r="Y118" s="12">
        <v>1207278.8999999999</v>
      </c>
      <c r="Z118" s="12">
        <v>1281105.77</v>
      </c>
      <c r="AA118" s="12">
        <v>969114.49</v>
      </c>
      <c r="AB118" s="12">
        <v>982923.18</v>
      </c>
      <c r="AC118" s="12">
        <v>1034856.93</v>
      </c>
      <c r="AF118" s="12">
        <v>1154544</v>
      </c>
      <c r="AG118" s="12">
        <v>1189742.51</v>
      </c>
      <c r="AH118" s="12">
        <v>715878.83</v>
      </c>
      <c r="AI118" s="12">
        <v>783058.22</v>
      </c>
      <c r="AJ118" s="12">
        <f>SUM(E118:AI118)</f>
        <v>24018164.879999999</v>
      </c>
      <c r="AK118" s="12">
        <f>AVERAGE(E118:AI118)</f>
        <v>1044268.0382608696</v>
      </c>
    </row>
    <row r="119" spans="1:37">
      <c r="A119" s="12" t="s">
        <v>18</v>
      </c>
      <c r="E119" s="50">
        <v>505289.14</v>
      </c>
      <c r="F119" s="12">
        <v>494835.36</v>
      </c>
      <c r="G119" s="12">
        <v>488781.07</v>
      </c>
      <c r="H119" s="12">
        <v>787605.28</v>
      </c>
      <c r="K119" s="12">
        <v>694807.51</v>
      </c>
      <c r="L119" s="12">
        <v>447130.58</v>
      </c>
      <c r="M119" s="12">
        <v>165740.93</v>
      </c>
      <c r="N119" s="12">
        <v>207730.49</v>
      </c>
      <c r="O119" s="12">
        <v>196032.91</v>
      </c>
      <c r="R119" s="12">
        <v>540548.22</v>
      </c>
      <c r="S119" s="12">
        <v>478722.38</v>
      </c>
      <c r="T119" s="12">
        <v>476244.75</v>
      </c>
      <c r="U119" s="12">
        <v>463564.08</v>
      </c>
      <c r="V119" s="12">
        <v>738579.81999999983</v>
      </c>
      <c r="Y119" s="12">
        <v>711159.64</v>
      </c>
      <c r="Z119" s="12">
        <v>707395.11</v>
      </c>
      <c r="AA119" s="12">
        <v>472880.63</v>
      </c>
      <c r="AB119" s="12">
        <v>351846.75</v>
      </c>
      <c r="AC119" s="12">
        <v>344606</v>
      </c>
      <c r="AF119" s="12">
        <v>335704.08</v>
      </c>
      <c r="AG119" s="12">
        <v>327345.76</v>
      </c>
      <c r="AH119" s="12">
        <v>319999.51</v>
      </c>
      <c r="AI119" s="12">
        <v>743154.48</v>
      </c>
      <c r="AJ119" s="12">
        <f t="shared" ref="AJ119" si="10">SUM(E119:AI119)</f>
        <v>10999704.48</v>
      </c>
      <c r="AK119" s="12">
        <f>AVERAGE(E119:AI119)</f>
        <v>478248.02086956525</v>
      </c>
    </row>
    <row r="120" spans="1:37" ht="15.75" thickBot="1">
      <c r="A120" s="14" t="s">
        <v>20</v>
      </c>
      <c r="E120" s="17">
        <f>SUM(E118:E119)</f>
        <v>1375950.06</v>
      </c>
      <c r="F120" s="17">
        <f>SUM(F118:F119)</f>
        <v>1388737.38</v>
      </c>
      <c r="G120" s="17">
        <f t="shared" ref="G120:AI120" si="11">SUM(G118:G119)</f>
        <v>1417743.82</v>
      </c>
      <c r="H120" s="17">
        <f t="shared" si="11"/>
        <v>1782691</v>
      </c>
      <c r="I120" s="17">
        <f t="shared" si="11"/>
        <v>0</v>
      </c>
      <c r="J120" s="17">
        <f t="shared" si="11"/>
        <v>0</v>
      </c>
      <c r="K120" s="17">
        <f t="shared" si="11"/>
        <v>1776870.51</v>
      </c>
      <c r="L120" s="17">
        <f t="shared" si="11"/>
        <v>1591956.1700000002</v>
      </c>
      <c r="M120" s="17">
        <f t="shared" si="11"/>
        <v>1350185.96</v>
      </c>
      <c r="N120" s="17">
        <f t="shared" si="11"/>
        <v>1416088.09</v>
      </c>
      <c r="O120" s="17">
        <f t="shared" si="11"/>
        <v>1470942.8499999999</v>
      </c>
      <c r="P120" s="17">
        <f t="shared" si="11"/>
        <v>0</v>
      </c>
      <c r="Q120" s="17">
        <f t="shared" si="11"/>
        <v>0</v>
      </c>
      <c r="R120" s="17">
        <f t="shared" si="11"/>
        <v>1445817.94</v>
      </c>
      <c r="S120" s="17">
        <f t="shared" si="11"/>
        <v>1475584.6</v>
      </c>
      <c r="T120" s="17">
        <f t="shared" si="11"/>
        <v>1496952.3399999999</v>
      </c>
      <c r="U120" s="17">
        <f t="shared" si="11"/>
        <v>1521245.4300000002</v>
      </c>
      <c r="V120" s="17">
        <f t="shared" si="11"/>
        <v>1874508.42</v>
      </c>
      <c r="W120" s="17">
        <f t="shared" si="11"/>
        <v>0</v>
      </c>
      <c r="X120" s="17">
        <f t="shared" si="11"/>
        <v>0</v>
      </c>
      <c r="Y120" s="17">
        <f t="shared" si="11"/>
        <v>1918438.54</v>
      </c>
      <c r="Z120" s="17">
        <f t="shared" si="11"/>
        <v>1988500.88</v>
      </c>
      <c r="AA120" s="17">
        <f t="shared" si="11"/>
        <v>1441995.12</v>
      </c>
      <c r="AB120" s="17">
        <f t="shared" si="11"/>
        <v>1334769.9300000002</v>
      </c>
      <c r="AC120" s="17">
        <f t="shared" si="11"/>
        <v>1379462.9300000002</v>
      </c>
      <c r="AD120" s="17">
        <f t="shared" si="11"/>
        <v>0</v>
      </c>
      <c r="AE120" s="17">
        <f t="shared" si="11"/>
        <v>0</v>
      </c>
      <c r="AF120" s="17">
        <f t="shared" si="11"/>
        <v>1490248.08</v>
      </c>
      <c r="AG120" s="17">
        <f t="shared" si="11"/>
        <v>1517088.27</v>
      </c>
      <c r="AH120" s="17">
        <f t="shared" si="11"/>
        <v>1035878.34</v>
      </c>
      <c r="AI120" s="17">
        <f t="shared" si="11"/>
        <v>1526212.7</v>
      </c>
      <c r="AJ120" s="17">
        <f>SUM(AJ118:AJ119)</f>
        <v>35017869.359999999</v>
      </c>
      <c r="AK120" s="17">
        <f>SUM(AK118:AK119)</f>
        <v>1522516.0591304349</v>
      </c>
    </row>
    <row r="121" spans="1:37" ht="15.75" thickTop="1">
      <c r="A121" t="s">
        <v>21</v>
      </c>
      <c r="AH121" s="12">
        <v>500000</v>
      </c>
    </row>
    <row r="122" spans="1:37">
      <c r="AH122" s="12">
        <f>+AH121+AH120</f>
        <v>1535878.3399999999</v>
      </c>
    </row>
    <row r="127" spans="1:37" ht="18.75">
      <c r="A127" s="1" t="s">
        <v>0</v>
      </c>
    </row>
    <row r="128" spans="1:37">
      <c r="A128" s="18" t="s">
        <v>24</v>
      </c>
      <c r="B128" s="18" t="s">
        <v>25</v>
      </c>
    </row>
    <row r="129" spans="1:36">
      <c r="A129" s="18" t="s">
        <v>42</v>
      </c>
      <c r="B129" s="18">
        <v>2011</v>
      </c>
    </row>
    <row r="131" spans="1:36">
      <c r="E131" s="28">
        <v>1</v>
      </c>
      <c r="F131" s="28">
        <v>2</v>
      </c>
      <c r="G131" s="28">
        <v>5</v>
      </c>
      <c r="H131" s="28">
        <v>6</v>
      </c>
      <c r="I131" s="28">
        <v>2</v>
      </c>
      <c r="J131" s="28">
        <v>7</v>
      </c>
      <c r="K131" s="28">
        <v>7</v>
      </c>
      <c r="L131" s="28">
        <v>8</v>
      </c>
      <c r="M131" s="28">
        <v>9</v>
      </c>
      <c r="N131" s="28">
        <v>12</v>
      </c>
      <c r="O131" s="28">
        <v>13</v>
      </c>
      <c r="Q131" s="28">
        <v>14</v>
      </c>
      <c r="R131" s="28">
        <v>14</v>
      </c>
      <c r="S131" s="28">
        <v>15</v>
      </c>
      <c r="T131" s="28">
        <v>16</v>
      </c>
      <c r="U131" s="28">
        <v>19</v>
      </c>
      <c r="V131" s="28">
        <v>20</v>
      </c>
      <c r="W131" s="28">
        <v>13</v>
      </c>
      <c r="Y131" s="28">
        <v>21</v>
      </c>
      <c r="Z131" s="28">
        <v>22</v>
      </c>
      <c r="AA131" s="47">
        <v>23</v>
      </c>
      <c r="AB131" s="47">
        <v>26</v>
      </c>
      <c r="AC131" s="47">
        <v>27</v>
      </c>
      <c r="AD131" s="47">
        <v>13</v>
      </c>
      <c r="AE131" s="48"/>
      <c r="AF131" s="47">
        <v>28</v>
      </c>
      <c r="AG131" s="47">
        <v>29</v>
      </c>
      <c r="AH131" s="47">
        <v>30</v>
      </c>
      <c r="AI131" s="19" t="s">
        <v>10</v>
      </c>
      <c r="AJ131" s="19" t="s">
        <v>12</v>
      </c>
    </row>
    <row r="132" spans="1:36">
      <c r="E132" s="49" t="s">
        <v>22</v>
      </c>
      <c r="F132" s="49" t="s">
        <v>6</v>
      </c>
      <c r="G132" s="49" t="s">
        <v>3</v>
      </c>
      <c r="H132" s="49" t="s">
        <v>4</v>
      </c>
      <c r="I132" s="49" t="s">
        <v>5</v>
      </c>
      <c r="J132" s="49" t="s">
        <v>22</v>
      </c>
      <c r="K132" s="49" t="s">
        <v>5</v>
      </c>
      <c r="L132" s="49" t="s">
        <v>22</v>
      </c>
      <c r="M132" s="49" t="s">
        <v>6</v>
      </c>
      <c r="N132" s="49" t="s">
        <v>3</v>
      </c>
      <c r="O132" s="49" t="s">
        <v>4</v>
      </c>
      <c r="P132" s="49" t="s">
        <v>5</v>
      </c>
      <c r="Q132" s="49" t="s">
        <v>22</v>
      </c>
      <c r="R132" s="49" t="s">
        <v>5</v>
      </c>
      <c r="S132" s="49" t="s">
        <v>22</v>
      </c>
      <c r="T132" s="49" t="s">
        <v>6</v>
      </c>
      <c r="U132" s="49" t="s">
        <v>3</v>
      </c>
      <c r="V132" s="49" t="s">
        <v>4</v>
      </c>
      <c r="W132" s="49" t="s">
        <v>5</v>
      </c>
      <c r="X132" s="49" t="s">
        <v>22</v>
      </c>
      <c r="Y132" s="49" t="s">
        <v>5</v>
      </c>
      <c r="Z132" s="49" t="s">
        <v>22</v>
      </c>
      <c r="AA132" s="49" t="s">
        <v>6</v>
      </c>
      <c r="AB132" s="49" t="s">
        <v>3</v>
      </c>
      <c r="AC132" s="49" t="s">
        <v>4</v>
      </c>
      <c r="AD132" s="49" t="s">
        <v>5</v>
      </c>
      <c r="AE132" s="49" t="s">
        <v>22</v>
      </c>
      <c r="AF132" s="49" t="s">
        <v>5</v>
      </c>
      <c r="AG132" s="49" t="s">
        <v>22</v>
      </c>
      <c r="AH132" s="49" t="s">
        <v>6</v>
      </c>
      <c r="AI132" s="49" t="s">
        <v>11</v>
      </c>
      <c r="AJ132" s="19" t="s">
        <v>9</v>
      </c>
    </row>
    <row r="133" spans="1:36">
      <c r="A133" s="5" t="s">
        <v>19</v>
      </c>
      <c r="AI133" s="22"/>
      <c r="AJ133" s="22"/>
    </row>
    <row r="134" spans="1:36">
      <c r="A134" s="12" t="s">
        <v>17</v>
      </c>
      <c r="E134" s="12">
        <v>865799.87</v>
      </c>
      <c r="F134" s="12">
        <v>985943.63</v>
      </c>
      <c r="H134" s="12">
        <v>1051291.5900000001</v>
      </c>
      <c r="K134" s="12">
        <v>1089908.82</v>
      </c>
      <c r="L134" s="12">
        <v>1145624.58</v>
      </c>
      <c r="M134" s="12">
        <v>1237154.8700000001</v>
      </c>
      <c r="N134" s="12">
        <v>1281817.54</v>
      </c>
      <c r="O134" s="12">
        <v>868186.71</v>
      </c>
      <c r="R134" s="12">
        <v>900820.5</v>
      </c>
      <c r="S134" s="12">
        <v>981597.72</v>
      </c>
      <c r="T134" s="12">
        <v>1061994.8500000001</v>
      </c>
      <c r="U134" s="12">
        <v>620512.35</v>
      </c>
      <c r="V134" s="12">
        <v>684673.36</v>
      </c>
      <c r="Y134" s="12">
        <v>734415.53</v>
      </c>
      <c r="Z134" s="12">
        <v>806213.05</v>
      </c>
      <c r="AA134" s="12">
        <v>894272.26</v>
      </c>
      <c r="AB134" s="12">
        <v>936827.37</v>
      </c>
      <c r="AC134" s="12">
        <v>987735.41</v>
      </c>
      <c r="AF134" s="12">
        <v>1022468.76</v>
      </c>
      <c r="AG134" s="12">
        <v>1135310.8999999999</v>
      </c>
      <c r="AH134" s="12">
        <v>590584.53</v>
      </c>
      <c r="AI134" s="12">
        <f>SUM(E134:AH134)</f>
        <v>19883154.199999999</v>
      </c>
      <c r="AJ134" s="12">
        <f>AVERAGE(E134:AH134)</f>
        <v>946816.86666666658</v>
      </c>
    </row>
    <row r="135" spans="1:36">
      <c r="A135" s="12" t="s">
        <v>18</v>
      </c>
      <c r="E135" s="12">
        <v>734025.49</v>
      </c>
      <c r="F135" s="12">
        <v>800117.8</v>
      </c>
      <c r="H135" s="12">
        <v>777831.59</v>
      </c>
      <c r="K135" s="12">
        <v>758146.29</v>
      </c>
      <c r="L135" s="12">
        <v>709554.93</v>
      </c>
      <c r="M135" s="12">
        <v>425947.6</v>
      </c>
      <c r="N135" s="12">
        <v>214623.71</v>
      </c>
      <c r="O135" s="12">
        <v>160811.47</v>
      </c>
      <c r="R135" s="12">
        <v>611540.6</v>
      </c>
      <c r="S135" s="12">
        <v>601626.04</v>
      </c>
      <c r="T135" s="12">
        <v>513911.66</v>
      </c>
      <c r="U135" s="12">
        <v>753166.48</v>
      </c>
      <c r="V135" s="12">
        <v>649556.47</v>
      </c>
      <c r="Y135" s="12">
        <v>458329.05</v>
      </c>
      <c r="Z135" s="12">
        <v>396342</v>
      </c>
      <c r="AA135" s="12">
        <v>376972.09</v>
      </c>
      <c r="AB135" s="12">
        <v>373921.31</v>
      </c>
      <c r="AC135" s="12">
        <v>358932.29</v>
      </c>
      <c r="AF135" s="12">
        <v>331632.18</v>
      </c>
      <c r="AG135" s="12">
        <v>320526.3</v>
      </c>
      <c r="AH135" s="12">
        <v>433667.09</v>
      </c>
      <c r="AI135" s="12">
        <f>SUM(E135:AH135)</f>
        <v>10761182.439999999</v>
      </c>
      <c r="AJ135" s="12">
        <f>AVERAGE(E135:AH135)</f>
        <v>512437.25904761901</v>
      </c>
    </row>
    <row r="136" spans="1:36" ht="15.75" thickBot="1">
      <c r="A136" s="14" t="s">
        <v>20</v>
      </c>
      <c r="E136" s="17">
        <f>SUM(E134:E135)</f>
        <v>1599825.3599999999</v>
      </c>
      <c r="F136" s="17">
        <f t="shared" ref="F136:AH136" si="12">SUM(F134:F135)</f>
        <v>1786061.4300000002</v>
      </c>
      <c r="G136" s="17">
        <f t="shared" si="12"/>
        <v>0</v>
      </c>
      <c r="H136" s="17">
        <f t="shared" si="12"/>
        <v>1829123.1800000002</v>
      </c>
      <c r="I136" s="17">
        <f t="shared" si="12"/>
        <v>0</v>
      </c>
      <c r="J136" s="17">
        <f t="shared" si="12"/>
        <v>0</v>
      </c>
      <c r="K136" s="17">
        <f t="shared" si="12"/>
        <v>1848055.11</v>
      </c>
      <c r="L136" s="17">
        <f t="shared" si="12"/>
        <v>1855179.5100000002</v>
      </c>
      <c r="M136" s="17">
        <f t="shared" si="12"/>
        <v>1663102.4700000002</v>
      </c>
      <c r="N136" s="17">
        <f t="shared" si="12"/>
        <v>1496441.25</v>
      </c>
      <c r="O136" s="17">
        <f t="shared" si="12"/>
        <v>1028998.1799999999</v>
      </c>
      <c r="P136" s="17">
        <f t="shared" si="12"/>
        <v>0</v>
      </c>
      <c r="Q136" s="17">
        <f t="shared" si="12"/>
        <v>0</v>
      </c>
      <c r="R136" s="17">
        <f t="shared" si="12"/>
        <v>1512361.1</v>
      </c>
      <c r="S136" s="17">
        <f t="shared" si="12"/>
        <v>1583223.76</v>
      </c>
      <c r="T136" s="17">
        <f t="shared" si="12"/>
        <v>1575906.51</v>
      </c>
      <c r="U136" s="17">
        <f t="shared" si="12"/>
        <v>1373678.83</v>
      </c>
      <c r="V136" s="17">
        <f t="shared" si="12"/>
        <v>1334229.83</v>
      </c>
      <c r="W136" s="17">
        <f t="shared" si="12"/>
        <v>0</v>
      </c>
      <c r="X136" s="17">
        <f t="shared" si="12"/>
        <v>0</v>
      </c>
      <c r="Y136" s="17">
        <f t="shared" si="12"/>
        <v>1192744.58</v>
      </c>
      <c r="Z136" s="17">
        <f t="shared" si="12"/>
        <v>1202555.05</v>
      </c>
      <c r="AA136" s="17">
        <f t="shared" si="12"/>
        <v>1271244.3500000001</v>
      </c>
      <c r="AB136" s="17">
        <f t="shared" si="12"/>
        <v>1310748.68</v>
      </c>
      <c r="AC136" s="17">
        <f t="shared" si="12"/>
        <v>1346667.7</v>
      </c>
      <c r="AD136" s="17">
        <f t="shared" si="12"/>
        <v>0</v>
      </c>
      <c r="AE136" s="17">
        <f t="shared" si="12"/>
        <v>0</v>
      </c>
      <c r="AF136" s="17">
        <f t="shared" si="12"/>
        <v>1354100.94</v>
      </c>
      <c r="AG136" s="17">
        <f t="shared" si="12"/>
        <v>1455837.2</v>
      </c>
      <c r="AH136" s="17">
        <f t="shared" si="12"/>
        <v>1024251.6200000001</v>
      </c>
      <c r="AI136" s="17">
        <f>SUM(AI134:AI135)</f>
        <v>30644336.640000001</v>
      </c>
      <c r="AJ136" s="17">
        <f>SUM(AJ134:AJ135)</f>
        <v>1459254.1257142855</v>
      </c>
    </row>
    <row r="137" spans="1:36" ht="15.75" thickTop="1">
      <c r="A137" t="s">
        <v>21</v>
      </c>
      <c r="O137" s="12">
        <v>528000</v>
      </c>
      <c r="U137" s="12">
        <v>500000</v>
      </c>
      <c r="V137" s="12">
        <v>500000</v>
      </c>
      <c r="AH137" s="12">
        <v>700000</v>
      </c>
    </row>
    <row r="138" spans="1:36">
      <c r="O138" s="12">
        <f>+O137+O136</f>
        <v>1556998.18</v>
      </c>
      <c r="U138" s="12">
        <f>+U137+U136</f>
        <v>1873678.83</v>
      </c>
      <c r="V138" s="12">
        <f>+V137+V136</f>
        <v>1834229.83</v>
      </c>
      <c r="AH138" s="12">
        <f>+AH137+AH136</f>
        <v>1724251.62</v>
      </c>
    </row>
    <row r="143" spans="1:36" ht="18.75">
      <c r="A143" s="1" t="s">
        <v>0</v>
      </c>
    </row>
    <row r="144" spans="1:36">
      <c r="A144" s="18" t="s">
        <v>24</v>
      </c>
      <c r="B144" s="18" t="s">
        <v>25</v>
      </c>
    </row>
    <row r="145" spans="1:37">
      <c r="A145" s="18" t="s">
        <v>43</v>
      </c>
      <c r="B145" s="18">
        <v>2011</v>
      </c>
    </row>
    <row r="146" spans="1:37">
      <c r="E146" s="28">
        <v>3</v>
      </c>
      <c r="F146" s="28">
        <v>4</v>
      </c>
      <c r="G146" s="28">
        <v>5</v>
      </c>
      <c r="H146" s="28">
        <v>6</v>
      </c>
      <c r="I146" s="28">
        <v>7</v>
      </c>
      <c r="J146" s="28">
        <v>8</v>
      </c>
      <c r="K146" s="28">
        <v>7</v>
      </c>
      <c r="L146" s="28">
        <v>10</v>
      </c>
      <c r="M146" s="28">
        <v>11</v>
      </c>
      <c r="N146" s="28">
        <v>12</v>
      </c>
      <c r="O146" s="28">
        <v>13</v>
      </c>
      <c r="P146" s="28">
        <v>7</v>
      </c>
      <c r="Q146" s="28">
        <v>8</v>
      </c>
      <c r="R146" s="28">
        <v>14</v>
      </c>
      <c r="S146" s="28">
        <v>17</v>
      </c>
      <c r="T146" s="28">
        <v>18</v>
      </c>
      <c r="U146" s="28">
        <v>19</v>
      </c>
      <c r="V146" s="28">
        <v>20</v>
      </c>
      <c r="W146" s="28">
        <v>7</v>
      </c>
      <c r="X146" s="28">
        <v>8</v>
      </c>
      <c r="Y146" s="28">
        <v>21</v>
      </c>
      <c r="Z146" s="28">
        <v>24</v>
      </c>
      <c r="AA146" s="28">
        <v>25</v>
      </c>
      <c r="AB146" s="28">
        <v>26</v>
      </c>
      <c r="AC146" s="28">
        <v>27</v>
      </c>
      <c r="AD146" s="28">
        <v>7</v>
      </c>
      <c r="AE146" s="28">
        <v>8</v>
      </c>
      <c r="AF146" s="28">
        <v>28</v>
      </c>
      <c r="AG146" s="28">
        <v>31</v>
      </c>
      <c r="AH146" s="19" t="s">
        <v>10</v>
      </c>
      <c r="AI146" s="19" t="s">
        <v>12</v>
      </c>
    </row>
    <row r="147" spans="1:37">
      <c r="E147" s="49" t="s">
        <v>3</v>
      </c>
      <c r="F147" s="49" t="s">
        <v>4</v>
      </c>
      <c r="G147" s="49" t="s">
        <v>5</v>
      </c>
      <c r="H147" s="49" t="s">
        <v>22</v>
      </c>
      <c r="I147" s="49" t="s">
        <v>5</v>
      </c>
      <c r="J147" s="49" t="s">
        <v>22</v>
      </c>
      <c r="K147" s="49" t="s">
        <v>6</v>
      </c>
      <c r="L147" s="49" t="s">
        <v>3</v>
      </c>
      <c r="M147" s="49" t="s">
        <v>4</v>
      </c>
      <c r="N147" s="49" t="s">
        <v>5</v>
      </c>
      <c r="O147" s="49" t="s">
        <v>22</v>
      </c>
      <c r="P147" s="49" t="s">
        <v>5</v>
      </c>
      <c r="Q147" s="49" t="s">
        <v>22</v>
      </c>
      <c r="R147" s="49" t="s">
        <v>6</v>
      </c>
      <c r="S147" s="49" t="s">
        <v>3</v>
      </c>
      <c r="T147" s="49" t="s">
        <v>4</v>
      </c>
      <c r="U147" s="49" t="s">
        <v>5</v>
      </c>
      <c r="V147" s="49" t="s">
        <v>22</v>
      </c>
      <c r="W147" s="49" t="s">
        <v>5</v>
      </c>
      <c r="X147" s="49" t="s">
        <v>22</v>
      </c>
      <c r="Y147" s="49" t="s">
        <v>6</v>
      </c>
      <c r="Z147" s="49" t="s">
        <v>3</v>
      </c>
      <c r="AA147" s="49" t="s">
        <v>4</v>
      </c>
      <c r="AB147" s="49" t="s">
        <v>5</v>
      </c>
      <c r="AC147" s="49" t="s">
        <v>22</v>
      </c>
      <c r="AD147" s="49" t="s">
        <v>5</v>
      </c>
      <c r="AE147" s="49" t="s">
        <v>22</v>
      </c>
      <c r="AF147" s="49" t="s">
        <v>6</v>
      </c>
      <c r="AG147" s="49" t="s">
        <v>3</v>
      </c>
      <c r="AH147" s="49" t="s">
        <v>11</v>
      </c>
      <c r="AI147" s="19" t="s">
        <v>9</v>
      </c>
    </row>
    <row r="148" spans="1:37">
      <c r="A148" s="5" t="s">
        <v>19</v>
      </c>
    </row>
    <row r="149" spans="1:37">
      <c r="A149" s="12" t="s">
        <v>17</v>
      </c>
      <c r="E149" s="12">
        <v>648799.43000000005</v>
      </c>
      <c r="F149" s="12">
        <v>666556.36</v>
      </c>
      <c r="G149" s="12">
        <v>725692.73</v>
      </c>
      <c r="H149" s="12">
        <v>818442.42</v>
      </c>
      <c r="K149" s="12">
        <v>904902.92</v>
      </c>
      <c r="L149" s="12">
        <v>942188.86</v>
      </c>
      <c r="M149" s="12">
        <v>942188.86</v>
      </c>
      <c r="N149" s="12">
        <v>1070850.1599999999</v>
      </c>
      <c r="O149" s="12">
        <v>639108.75</v>
      </c>
      <c r="R149" s="12">
        <v>769170.16</v>
      </c>
      <c r="S149" s="12">
        <v>803383.47</v>
      </c>
      <c r="T149" s="12">
        <v>898114.22</v>
      </c>
      <c r="U149" s="12">
        <v>927320.05</v>
      </c>
      <c r="V149" s="12">
        <v>397661</v>
      </c>
      <c r="Y149" s="12">
        <v>510265.12</v>
      </c>
      <c r="Z149" s="12">
        <v>571963.36</v>
      </c>
      <c r="AA149" s="12">
        <v>617567.44999999995</v>
      </c>
      <c r="AB149" s="12">
        <v>672416.4</v>
      </c>
      <c r="AC149" s="12">
        <v>724445.95</v>
      </c>
      <c r="AF149" s="12">
        <v>865408.71</v>
      </c>
      <c r="AG149" s="12">
        <v>909410.95</v>
      </c>
      <c r="AH149" s="12">
        <f>SUM(E149:AG149)</f>
        <v>16025857.329999998</v>
      </c>
      <c r="AI149" s="12">
        <f>AVERAGE(E149:AG149)</f>
        <v>763136.06333333324</v>
      </c>
    </row>
    <row r="150" spans="1:37">
      <c r="A150" s="12" t="s">
        <v>18</v>
      </c>
      <c r="E150" s="12">
        <v>605879.84</v>
      </c>
      <c r="F150" s="12">
        <v>482474.83</v>
      </c>
      <c r="G150" s="12">
        <v>456314.38</v>
      </c>
      <c r="H150" s="12">
        <v>344930.87</v>
      </c>
      <c r="L150" s="12">
        <v>312886.3</v>
      </c>
      <c r="M150" s="12">
        <v>302848.17</v>
      </c>
      <c r="N150" s="12">
        <v>248528.34</v>
      </c>
      <c r="O150" s="12">
        <v>724062.56</v>
      </c>
      <c r="R150" s="12">
        <v>933140.72</v>
      </c>
      <c r="S150" s="12">
        <v>613815.84</v>
      </c>
      <c r="T150" s="12">
        <v>395757.09</v>
      </c>
      <c r="U150" s="12">
        <v>381958.98</v>
      </c>
      <c r="V150" s="12">
        <v>363811.11</v>
      </c>
      <c r="Y150" s="12">
        <v>861523.81</v>
      </c>
      <c r="Z150" s="12">
        <v>852073.15</v>
      </c>
      <c r="AA150" s="12">
        <v>762963.01</v>
      </c>
      <c r="AB150" s="12">
        <v>744019.7</v>
      </c>
      <c r="AC150" s="12">
        <v>729019.8</v>
      </c>
      <c r="AF150" s="12">
        <v>697702.34</v>
      </c>
      <c r="AG150" s="12">
        <v>426476.43</v>
      </c>
      <c r="AH150" s="12">
        <f>SUM(E150:AG150)</f>
        <v>11240187.27</v>
      </c>
      <c r="AI150" s="12">
        <f>AVERAGE(E150:AG150)</f>
        <v>562009.36349999998</v>
      </c>
    </row>
    <row r="151" spans="1:37" ht="15.75" thickBot="1">
      <c r="A151" s="14" t="s">
        <v>20</v>
      </c>
      <c r="E151" s="17">
        <f>SUM(E149:E150)</f>
        <v>1254679.27</v>
      </c>
      <c r="F151" s="17">
        <f t="shared" ref="F151:AG151" si="13">SUM(F149:F150)</f>
        <v>1149031.19</v>
      </c>
      <c r="G151" s="17">
        <f t="shared" si="13"/>
        <v>1182007.1099999999</v>
      </c>
      <c r="H151" s="17">
        <f t="shared" si="13"/>
        <v>1163373.29</v>
      </c>
      <c r="I151" s="17">
        <f t="shared" si="13"/>
        <v>0</v>
      </c>
      <c r="J151" s="17">
        <f t="shared" si="13"/>
        <v>0</v>
      </c>
      <c r="K151" s="17">
        <f t="shared" si="13"/>
        <v>904902.92</v>
      </c>
      <c r="L151" s="17">
        <f t="shared" si="13"/>
        <v>1255075.1599999999</v>
      </c>
      <c r="M151" s="17">
        <f t="shared" si="13"/>
        <v>1245037.03</v>
      </c>
      <c r="N151" s="17">
        <f t="shared" si="13"/>
        <v>1319378.5</v>
      </c>
      <c r="O151" s="17">
        <f t="shared" si="13"/>
        <v>1363171.31</v>
      </c>
      <c r="P151" s="17">
        <f t="shared" si="13"/>
        <v>0</v>
      </c>
      <c r="Q151" s="17">
        <f t="shared" si="13"/>
        <v>0</v>
      </c>
      <c r="R151" s="17">
        <f t="shared" si="13"/>
        <v>1702310.88</v>
      </c>
      <c r="S151" s="17">
        <f t="shared" si="13"/>
        <v>1417199.31</v>
      </c>
      <c r="T151" s="17">
        <f t="shared" si="13"/>
        <v>1293871.31</v>
      </c>
      <c r="U151" s="17">
        <f t="shared" si="13"/>
        <v>1309279.03</v>
      </c>
      <c r="V151" s="17">
        <f t="shared" si="13"/>
        <v>761472.11</v>
      </c>
      <c r="W151" s="17">
        <f t="shared" si="13"/>
        <v>0</v>
      </c>
      <c r="X151" s="17">
        <f t="shared" si="13"/>
        <v>0</v>
      </c>
      <c r="Y151" s="17">
        <f t="shared" si="13"/>
        <v>1371788.9300000002</v>
      </c>
      <c r="Z151" s="17">
        <f t="shared" si="13"/>
        <v>1424036.51</v>
      </c>
      <c r="AA151" s="17">
        <f t="shared" si="13"/>
        <v>1380530.46</v>
      </c>
      <c r="AB151" s="17">
        <f t="shared" si="13"/>
        <v>1416436.1</v>
      </c>
      <c r="AC151" s="17">
        <f t="shared" si="13"/>
        <v>1453465.75</v>
      </c>
      <c r="AD151" s="17">
        <f t="shared" si="13"/>
        <v>0</v>
      </c>
      <c r="AE151" s="17">
        <f t="shared" si="13"/>
        <v>0</v>
      </c>
      <c r="AF151" s="17">
        <f t="shared" si="13"/>
        <v>1563111.0499999998</v>
      </c>
      <c r="AG151" s="17">
        <f t="shared" si="13"/>
        <v>1335887.3799999999</v>
      </c>
      <c r="AH151" s="17">
        <f>SUM(AH149:AH150)</f>
        <v>27266044.599999998</v>
      </c>
      <c r="AI151" s="17">
        <f>SUM(AI149:AI150)</f>
        <v>1325145.4268333332</v>
      </c>
    </row>
    <row r="152" spans="1:37" ht="15.75" thickTop="1">
      <c r="A152" t="s">
        <v>21</v>
      </c>
      <c r="V152" s="12">
        <v>600000</v>
      </c>
    </row>
    <row r="153" spans="1:37">
      <c r="V153" s="12">
        <f>+V152+V151</f>
        <v>1361472.1099999999</v>
      </c>
    </row>
    <row r="157" spans="1:37" ht="18.75">
      <c r="A157" s="1" t="s">
        <v>0</v>
      </c>
    </row>
    <row r="158" spans="1:37">
      <c r="A158" s="18" t="s">
        <v>24</v>
      </c>
      <c r="B158" s="18" t="s">
        <v>25</v>
      </c>
    </row>
    <row r="159" spans="1:37">
      <c r="A159" s="18" t="s">
        <v>44</v>
      </c>
      <c r="B159" s="18">
        <v>2011</v>
      </c>
    </row>
    <row r="160" spans="1:37">
      <c r="E160" s="28">
        <v>1</v>
      </c>
      <c r="F160" s="28">
        <v>2</v>
      </c>
      <c r="G160" s="28">
        <v>3</v>
      </c>
      <c r="H160" s="28">
        <v>4</v>
      </c>
      <c r="K160" s="28">
        <v>7</v>
      </c>
      <c r="L160" s="28">
        <v>8</v>
      </c>
      <c r="M160" s="28">
        <v>9</v>
      </c>
      <c r="N160" s="28">
        <v>10</v>
      </c>
      <c r="O160" s="28">
        <v>11</v>
      </c>
      <c r="P160" s="28">
        <v>8</v>
      </c>
      <c r="Q160" s="28">
        <v>7</v>
      </c>
      <c r="R160" s="28">
        <v>14</v>
      </c>
      <c r="S160" s="28">
        <v>15</v>
      </c>
      <c r="T160" s="28">
        <v>16</v>
      </c>
      <c r="U160" s="28">
        <v>17</v>
      </c>
      <c r="V160" s="28">
        <v>18</v>
      </c>
      <c r="Y160" s="28">
        <v>21</v>
      </c>
      <c r="Z160" s="28">
        <v>22</v>
      </c>
      <c r="AA160" s="28">
        <v>23</v>
      </c>
      <c r="AB160" s="28">
        <v>24</v>
      </c>
      <c r="AC160" s="28">
        <v>25</v>
      </c>
      <c r="AF160" s="28">
        <v>28</v>
      </c>
      <c r="AG160" s="28">
        <v>29</v>
      </c>
      <c r="AH160" s="28">
        <v>30</v>
      </c>
      <c r="AI160" s="19" t="s">
        <v>10</v>
      </c>
      <c r="AJ160" s="19" t="s">
        <v>12</v>
      </c>
      <c r="AK160"/>
    </row>
    <row r="161" spans="1:37">
      <c r="E161" s="49" t="s">
        <v>4</v>
      </c>
      <c r="F161" s="49" t="s">
        <v>5</v>
      </c>
      <c r="G161" s="49" t="s">
        <v>22</v>
      </c>
      <c r="H161" s="49" t="s">
        <v>6</v>
      </c>
      <c r="K161" s="49" t="s">
        <v>3</v>
      </c>
      <c r="L161" s="49" t="s">
        <v>4</v>
      </c>
      <c r="M161" s="49" t="s">
        <v>5</v>
      </c>
      <c r="N161" s="49" t="s">
        <v>22</v>
      </c>
      <c r="O161" s="49" t="s">
        <v>6</v>
      </c>
      <c r="P161" s="49" t="s">
        <v>22</v>
      </c>
      <c r="Q161" s="49" t="s">
        <v>6</v>
      </c>
      <c r="R161" s="49" t="s">
        <v>3</v>
      </c>
      <c r="S161" s="49" t="s">
        <v>4</v>
      </c>
      <c r="T161" s="49" t="s">
        <v>5</v>
      </c>
      <c r="U161" s="49" t="s">
        <v>22</v>
      </c>
      <c r="V161" s="49" t="s">
        <v>6</v>
      </c>
      <c r="Y161" s="49" t="s">
        <v>3</v>
      </c>
      <c r="Z161" s="49" t="s">
        <v>4</v>
      </c>
      <c r="AA161" s="49" t="s">
        <v>5</v>
      </c>
      <c r="AB161" s="49" t="s">
        <v>22</v>
      </c>
      <c r="AC161" s="49" t="s">
        <v>6</v>
      </c>
      <c r="AF161" s="49" t="s">
        <v>3</v>
      </c>
      <c r="AG161" s="49" t="s">
        <v>4</v>
      </c>
      <c r="AH161" s="49" t="s">
        <v>5</v>
      </c>
      <c r="AI161" s="49" t="s">
        <v>11</v>
      </c>
      <c r="AJ161" s="19" t="s">
        <v>9</v>
      </c>
      <c r="AK161"/>
    </row>
    <row r="162" spans="1:37">
      <c r="A162" s="5" t="s">
        <v>19</v>
      </c>
      <c r="AK162"/>
    </row>
    <row r="163" spans="1:37">
      <c r="A163" s="12" t="s">
        <v>17</v>
      </c>
      <c r="E163" s="12">
        <v>951907.09</v>
      </c>
      <c r="F163" s="12">
        <v>980178.06</v>
      </c>
      <c r="G163" s="12">
        <v>1022990.98</v>
      </c>
      <c r="H163" s="12">
        <v>673477.7</v>
      </c>
      <c r="K163" s="12">
        <v>723319.22</v>
      </c>
      <c r="L163" s="12">
        <v>762247.29</v>
      </c>
      <c r="M163" s="12">
        <v>831427.75</v>
      </c>
      <c r="N163" s="12">
        <v>878084.57</v>
      </c>
      <c r="R163" s="12">
        <v>453154.58</v>
      </c>
      <c r="S163" s="12">
        <v>533444.73</v>
      </c>
      <c r="T163" s="12">
        <v>599322.68000000005</v>
      </c>
      <c r="U163" s="12">
        <v>659007.43000000005</v>
      </c>
      <c r="V163" s="12">
        <v>792282.2</v>
      </c>
      <c r="Y163" s="12">
        <v>353452.69</v>
      </c>
      <c r="Z163" s="12">
        <v>425425.19</v>
      </c>
      <c r="AA163" s="12">
        <v>462462.36</v>
      </c>
      <c r="AC163" s="12">
        <v>512594.75</v>
      </c>
      <c r="AF163" s="12">
        <v>540204.74</v>
      </c>
      <c r="AG163" s="12">
        <v>547627.81000000006</v>
      </c>
      <c r="AH163" s="12">
        <v>643767.56000000006</v>
      </c>
      <c r="AI163" s="12">
        <f>SUM(E163:AH163)</f>
        <v>13346379.379999999</v>
      </c>
      <c r="AJ163" s="12">
        <f>AVERAGE(E163:AH163)</f>
        <v>667318.96899999992</v>
      </c>
      <c r="AK163"/>
    </row>
    <row r="164" spans="1:37">
      <c r="A164" s="12" t="s">
        <v>18</v>
      </c>
      <c r="E164" s="12">
        <v>423499.65</v>
      </c>
      <c r="F164" s="12">
        <v>184966.74</v>
      </c>
      <c r="G164" s="12">
        <v>305181.83</v>
      </c>
      <c r="K164" s="12">
        <v>268514.34999999998</v>
      </c>
      <c r="L164" s="12">
        <v>641275</v>
      </c>
      <c r="M164" s="12">
        <v>618967.30000000005</v>
      </c>
      <c r="R164" s="12">
        <v>869643.15</v>
      </c>
      <c r="S164" s="12">
        <v>705831.11</v>
      </c>
      <c r="T164" s="12">
        <v>677210.65</v>
      </c>
      <c r="U164" s="12">
        <v>592314.64</v>
      </c>
      <c r="V164" s="12">
        <v>511710.46</v>
      </c>
      <c r="Y164" s="12">
        <v>965535.38</v>
      </c>
      <c r="Z164" s="12">
        <v>951098.18</v>
      </c>
      <c r="AA164" s="12">
        <v>959080.5</v>
      </c>
      <c r="AF164" s="12">
        <v>739683.61</v>
      </c>
      <c r="AG164" s="12">
        <v>558500.65</v>
      </c>
      <c r="AH164" s="12">
        <v>434733.75</v>
      </c>
      <c r="AI164" s="12">
        <f>SUM(E164:AH164)</f>
        <v>10407746.949999999</v>
      </c>
      <c r="AJ164" s="12">
        <f>AVERAGE(E164:AH164)</f>
        <v>612220.40882352937</v>
      </c>
      <c r="AK164"/>
    </row>
    <row r="165" spans="1:37" ht="15.75" thickBot="1">
      <c r="A165" s="14" t="s">
        <v>20</v>
      </c>
      <c r="E165" s="17">
        <f>SUM(E163:E164)</f>
        <v>1375406.74</v>
      </c>
      <c r="F165" s="17">
        <f t="shared" ref="F165:AH165" si="14">SUM(F163:F164)</f>
        <v>1165144.8</v>
      </c>
      <c r="G165" s="17">
        <f t="shared" si="14"/>
        <v>1328172.81</v>
      </c>
      <c r="H165" s="17">
        <f t="shared" si="14"/>
        <v>673477.7</v>
      </c>
      <c r="I165" s="17">
        <f t="shared" si="14"/>
        <v>0</v>
      </c>
      <c r="J165" s="17">
        <f t="shared" si="14"/>
        <v>0</v>
      </c>
      <c r="K165" s="17">
        <f t="shared" si="14"/>
        <v>991833.57</v>
      </c>
      <c r="L165" s="17">
        <f t="shared" si="14"/>
        <v>1403522.29</v>
      </c>
      <c r="M165" s="17">
        <f t="shared" si="14"/>
        <v>1450395.05</v>
      </c>
      <c r="N165" s="53">
        <f t="shared" si="14"/>
        <v>878084.57</v>
      </c>
      <c r="O165" s="17">
        <f t="shared" si="14"/>
        <v>0</v>
      </c>
      <c r="P165" s="17">
        <f t="shared" si="14"/>
        <v>0</v>
      </c>
      <c r="Q165" s="17">
        <f t="shared" si="14"/>
        <v>0</v>
      </c>
      <c r="R165" s="17">
        <f t="shared" si="14"/>
        <v>1322797.73</v>
      </c>
      <c r="S165" s="17">
        <f t="shared" si="14"/>
        <v>1239275.8399999999</v>
      </c>
      <c r="T165" s="17">
        <f t="shared" si="14"/>
        <v>1276533.33</v>
      </c>
      <c r="U165" s="17">
        <f t="shared" si="14"/>
        <v>1251322.07</v>
      </c>
      <c r="V165" s="17">
        <f t="shared" si="14"/>
        <v>1303992.6599999999</v>
      </c>
      <c r="W165" s="17">
        <f t="shared" si="14"/>
        <v>0</v>
      </c>
      <c r="X165" s="17">
        <f t="shared" si="14"/>
        <v>0</v>
      </c>
      <c r="Y165" s="17">
        <f t="shared" si="14"/>
        <v>1318988.07</v>
      </c>
      <c r="Z165" s="17">
        <f t="shared" si="14"/>
        <v>1376523.37</v>
      </c>
      <c r="AA165" s="17">
        <f t="shared" si="14"/>
        <v>1421542.8599999999</v>
      </c>
      <c r="AB165" s="17">
        <f t="shared" si="14"/>
        <v>0</v>
      </c>
      <c r="AC165" s="17">
        <f t="shared" si="14"/>
        <v>512594.75</v>
      </c>
      <c r="AD165" s="17">
        <f t="shared" si="14"/>
        <v>0</v>
      </c>
      <c r="AE165" s="17">
        <f t="shared" si="14"/>
        <v>0</v>
      </c>
      <c r="AF165" s="17">
        <f t="shared" si="14"/>
        <v>1279888.3500000001</v>
      </c>
      <c r="AG165" s="17">
        <f t="shared" si="14"/>
        <v>1106128.46</v>
      </c>
      <c r="AH165" s="17">
        <f t="shared" si="14"/>
        <v>1078501.31</v>
      </c>
      <c r="AI165" s="17">
        <f>SUM(AI163:AI164)</f>
        <v>23754126.329999998</v>
      </c>
      <c r="AJ165" s="17">
        <f>SUM(AJ163:AJ164)</f>
        <v>1279539.3778235293</v>
      </c>
      <c r="AK165"/>
    </row>
    <row r="166" spans="1:37" ht="15.75" thickTop="1">
      <c r="A166" t="s">
        <v>21</v>
      </c>
      <c r="H166" s="12">
        <v>400000</v>
      </c>
      <c r="K166" s="12">
        <v>400000</v>
      </c>
    </row>
    <row r="167" spans="1:37">
      <c r="H167" s="12">
        <f>+H166+H165</f>
        <v>1073477.7</v>
      </c>
      <c r="K167" s="12">
        <f>+K166+K165</f>
        <v>1391833.5699999998</v>
      </c>
    </row>
    <row r="172" spans="1:37" ht="18.75">
      <c r="A172" s="1" t="s">
        <v>0</v>
      </c>
    </row>
    <row r="173" spans="1:37">
      <c r="A173" s="18" t="s">
        <v>24</v>
      </c>
      <c r="B173" s="18" t="s">
        <v>25</v>
      </c>
    </row>
    <row r="174" spans="1:37">
      <c r="A174" s="18" t="s">
        <v>45</v>
      </c>
      <c r="B174" s="18">
        <v>2011</v>
      </c>
    </row>
    <row r="175" spans="1:37">
      <c r="E175" s="28">
        <v>1</v>
      </c>
      <c r="F175" s="28">
        <v>2</v>
      </c>
      <c r="G175" s="28">
        <v>5</v>
      </c>
      <c r="H175" s="28">
        <v>6</v>
      </c>
      <c r="I175" s="28">
        <v>9</v>
      </c>
      <c r="J175" s="28">
        <v>10</v>
      </c>
      <c r="K175" s="28">
        <v>7</v>
      </c>
      <c r="L175" s="28">
        <v>8</v>
      </c>
      <c r="M175" s="28">
        <v>9</v>
      </c>
      <c r="N175" s="28">
        <v>12</v>
      </c>
      <c r="O175" s="28">
        <v>13</v>
      </c>
      <c r="P175" s="28">
        <v>9</v>
      </c>
      <c r="Q175" s="28">
        <v>10</v>
      </c>
      <c r="R175" s="28">
        <v>14</v>
      </c>
      <c r="S175" s="28">
        <v>15</v>
      </c>
      <c r="T175" s="28">
        <v>16</v>
      </c>
      <c r="U175" s="28">
        <v>19</v>
      </c>
      <c r="V175" s="28">
        <v>20</v>
      </c>
      <c r="W175" s="28">
        <v>9</v>
      </c>
      <c r="X175" s="28">
        <v>10</v>
      </c>
      <c r="Y175" s="28">
        <v>21</v>
      </c>
      <c r="Z175" s="28">
        <v>22</v>
      </c>
      <c r="AA175" s="28">
        <v>23</v>
      </c>
      <c r="AB175" s="19" t="s">
        <v>10</v>
      </c>
      <c r="AC175" s="19" t="s">
        <v>12</v>
      </c>
    </row>
    <row r="176" spans="1:37">
      <c r="E176" s="49" t="s">
        <v>22</v>
      </c>
      <c r="F176" s="49" t="s">
        <v>6</v>
      </c>
      <c r="G176" s="49" t="s">
        <v>3</v>
      </c>
      <c r="H176" s="49" t="s">
        <v>4</v>
      </c>
      <c r="I176" s="49" t="s">
        <v>5</v>
      </c>
      <c r="J176" s="49" t="s">
        <v>22</v>
      </c>
      <c r="K176" s="49" t="s">
        <v>5</v>
      </c>
      <c r="L176" s="49" t="s">
        <v>22</v>
      </c>
      <c r="M176" s="49" t="s">
        <v>6</v>
      </c>
      <c r="N176" s="49" t="s">
        <v>3</v>
      </c>
      <c r="O176" s="49" t="s">
        <v>4</v>
      </c>
      <c r="P176" s="49" t="s">
        <v>5</v>
      </c>
      <c r="Q176" s="49" t="s">
        <v>22</v>
      </c>
      <c r="R176" s="49" t="s">
        <v>5</v>
      </c>
      <c r="S176" s="49" t="s">
        <v>22</v>
      </c>
      <c r="T176" s="49" t="s">
        <v>6</v>
      </c>
      <c r="U176" s="49" t="s">
        <v>3</v>
      </c>
      <c r="V176" s="49" t="s">
        <v>4</v>
      </c>
      <c r="W176" s="49" t="s">
        <v>5</v>
      </c>
      <c r="X176" s="49" t="s">
        <v>22</v>
      </c>
      <c r="Y176" s="49" t="s">
        <v>5</v>
      </c>
      <c r="Z176" s="49" t="s">
        <v>22</v>
      </c>
      <c r="AA176" s="49" t="s">
        <v>6</v>
      </c>
      <c r="AB176" s="19" t="s">
        <v>11</v>
      </c>
      <c r="AC176" s="19" t="s">
        <v>9</v>
      </c>
    </row>
    <row r="177" spans="1:29">
      <c r="A177" s="5" t="s">
        <v>19</v>
      </c>
    </row>
    <row r="178" spans="1:29">
      <c r="A178" s="12" t="s">
        <v>17</v>
      </c>
      <c r="E178" s="12">
        <v>714431.69</v>
      </c>
      <c r="F178" s="12">
        <v>788505.44</v>
      </c>
      <c r="G178" s="12">
        <v>874915.28</v>
      </c>
      <c r="H178" s="12">
        <v>329212.62</v>
      </c>
      <c r="K178" s="12">
        <v>376725.39</v>
      </c>
      <c r="L178" s="12">
        <v>446779.26</v>
      </c>
      <c r="M178" s="12">
        <v>567224.07999999996</v>
      </c>
      <c r="N178" s="12">
        <v>622318.13</v>
      </c>
      <c r="O178" s="12">
        <v>687211.44</v>
      </c>
      <c r="R178" s="12">
        <v>737916.1</v>
      </c>
      <c r="S178" s="12">
        <v>801767.91</v>
      </c>
      <c r="T178" s="12">
        <v>420628.47</v>
      </c>
      <c r="U178" s="12">
        <v>492082.02</v>
      </c>
      <c r="V178" s="12">
        <v>537399.42000000004</v>
      </c>
      <c r="Y178" s="12">
        <v>583464.53</v>
      </c>
      <c r="Z178" s="12">
        <v>609108.27</v>
      </c>
      <c r="AA178" s="12">
        <v>751455.74</v>
      </c>
      <c r="AB178" s="12">
        <f>SUM(E178:AA178)</f>
        <v>10341145.789999999</v>
      </c>
      <c r="AC178" s="12">
        <f>AVERAGE(E178:AA178)</f>
        <v>608302.69352941168</v>
      </c>
    </row>
    <row r="179" spans="1:29">
      <c r="A179" s="12" t="s">
        <v>18</v>
      </c>
      <c r="E179" s="12">
        <v>708302.47</v>
      </c>
      <c r="F179" s="12">
        <v>683108.83</v>
      </c>
      <c r="G179" s="12">
        <v>765736.34</v>
      </c>
      <c r="H179" s="12">
        <v>677693.01</v>
      </c>
      <c r="K179" s="12">
        <v>1209118.6299999999</v>
      </c>
      <c r="L179" s="12">
        <v>1167277.97</v>
      </c>
      <c r="M179" s="12">
        <v>1062896.68</v>
      </c>
      <c r="N179" s="12">
        <v>469963.05</v>
      </c>
      <c r="O179" s="12">
        <v>451414.77</v>
      </c>
      <c r="R179" s="12">
        <v>435895.39</v>
      </c>
      <c r="S179" s="12">
        <v>755102.37</v>
      </c>
      <c r="T179" s="12">
        <v>740669.33</v>
      </c>
      <c r="U179" s="12">
        <v>704088.02</v>
      </c>
      <c r="V179" s="12">
        <v>691194.18</v>
      </c>
      <c r="Y179" s="12">
        <v>658860.74</v>
      </c>
      <c r="Z179" s="12">
        <v>627407.94999999995</v>
      </c>
      <c r="AA179" s="12">
        <v>615994.86</v>
      </c>
      <c r="AB179" s="12">
        <f>SUM(E179:AA179)</f>
        <v>12424724.589999996</v>
      </c>
      <c r="AC179" s="12">
        <f>AVERAGE(E179:AA179)</f>
        <v>730866.15235294099</v>
      </c>
    </row>
    <row r="180" spans="1:29" ht="15.75" thickBot="1">
      <c r="A180" s="14" t="s">
        <v>20</v>
      </c>
      <c r="E180" s="17">
        <f>+E179+E178</f>
        <v>1422734.16</v>
      </c>
      <c r="F180" s="17">
        <f t="shared" ref="F180:AA180" si="15">+F179+F178</f>
        <v>1471614.27</v>
      </c>
      <c r="G180" s="17">
        <f t="shared" si="15"/>
        <v>1640651.62</v>
      </c>
      <c r="H180" s="17">
        <f t="shared" si="15"/>
        <v>1006905.63</v>
      </c>
      <c r="I180" s="17">
        <f t="shared" si="15"/>
        <v>0</v>
      </c>
      <c r="J180" s="17">
        <f t="shared" si="15"/>
        <v>0</v>
      </c>
      <c r="K180" s="17">
        <f t="shared" si="15"/>
        <v>1585844.02</v>
      </c>
      <c r="L180" s="17">
        <f t="shared" si="15"/>
        <v>1614057.23</v>
      </c>
      <c r="M180" s="17">
        <f t="shared" si="15"/>
        <v>1630120.7599999998</v>
      </c>
      <c r="N180" s="17">
        <f t="shared" si="15"/>
        <v>1092281.18</v>
      </c>
      <c r="O180" s="17">
        <f t="shared" si="15"/>
        <v>1138626.21</v>
      </c>
      <c r="P180" s="17">
        <f t="shared" si="15"/>
        <v>0</v>
      </c>
      <c r="Q180" s="17">
        <f t="shared" si="15"/>
        <v>0</v>
      </c>
      <c r="R180" s="17">
        <f t="shared" si="15"/>
        <v>1173811.49</v>
      </c>
      <c r="S180" s="17">
        <f t="shared" si="15"/>
        <v>1556870.28</v>
      </c>
      <c r="T180" s="17">
        <f t="shared" si="15"/>
        <v>1161297.7999999998</v>
      </c>
      <c r="U180" s="17">
        <f t="shared" si="15"/>
        <v>1196170.04</v>
      </c>
      <c r="V180" s="17">
        <f t="shared" si="15"/>
        <v>1228593.6000000001</v>
      </c>
      <c r="W180" s="17">
        <f t="shared" si="15"/>
        <v>0</v>
      </c>
      <c r="X180" s="17">
        <f t="shared" si="15"/>
        <v>0</v>
      </c>
      <c r="Y180" s="17">
        <f t="shared" si="15"/>
        <v>1242325.27</v>
      </c>
      <c r="Z180" s="17">
        <f t="shared" si="15"/>
        <v>1236516.22</v>
      </c>
      <c r="AA180" s="55">
        <f t="shared" si="15"/>
        <v>1367450.6</v>
      </c>
      <c r="AB180" s="17">
        <f>SUM(AB178:AB179)</f>
        <v>22765870.379999995</v>
      </c>
      <c r="AC180" s="17">
        <f>SUM(AC178:AC179)</f>
        <v>1339168.8458823527</v>
      </c>
    </row>
    <row r="181" spans="1:29" ht="15.75" thickTop="1">
      <c r="A181" t="s">
        <v>21</v>
      </c>
      <c r="H181" s="12">
        <v>600000</v>
      </c>
      <c r="T181" s="12">
        <v>500000</v>
      </c>
    </row>
    <row r="182" spans="1:29">
      <c r="H182" s="12">
        <f>+H181+H180</f>
        <v>1606905.63</v>
      </c>
      <c r="T182" s="12">
        <f>+T180+T181</f>
        <v>1661297.7999999998</v>
      </c>
    </row>
    <row r="190" spans="1:29" ht="18.75">
      <c r="A190" s="1" t="s">
        <v>0</v>
      </c>
    </row>
    <row r="191" spans="1:29">
      <c r="A191" s="18" t="s">
        <v>24</v>
      </c>
      <c r="B191" s="18" t="s">
        <v>25</v>
      </c>
    </row>
    <row r="192" spans="1:29">
      <c r="A192" s="18" t="s">
        <v>46</v>
      </c>
      <c r="B192" s="18">
        <v>2012</v>
      </c>
    </row>
    <row r="193" spans="1:36">
      <c r="E193" s="28">
        <v>2</v>
      </c>
      <c r="F193" s="28">
        <v>3</v>
      </c>
      <c r="G193" s="28">
        <v>4</v>
      </c>
      <c r="H193" s="28">
        <v>5</v>
      </c>
      <c r="K193" s="28">
        <v>6</v>
      </c>
      <c r="L193" s="28">
        <v>9</v>
      </c>
      <c r="M193" s="28">
        <v>10</v>
      </c>
      <c r="N193" s="28">
        <v>11</v>
      </c>
      <c r="O193" s="28">
        <v>12</v>
      </c>
      <c r="R193" s="28">
        <v>13</v>
      </c>
      <c r="S193" s="28">
        <v>16</v>
      </c>
      <c r="T193" s="28">
        <v>17</v>
      </c>
      <c r="U193" s="28">
        <v>18</v>
      </c>
      <c r="V193" s="28">
        <v>19</v>
      </c>
      <c r="Y193" s="28">
        <v>20</v>
      </c>
      <c r="Z193" s="28">
        <v>23</v>
      </c>
      <c r="AA193" s="28">
        <v>24</v>
      </c>
      <c r="AB193" s="28">
        <v>25</v>
      </c>
      <c r="AC193" s="28">
        <v>26</v>
      </c>
      <c r="AF193" s="28">
        <v>27</v>
      </c>
      <c r="AG193" s="28">
        <v>30</v>
      </c>
      <c r="AH193" s="28">
        <v>31</v>
      </c>
      <c r="AI193" s="19" t="s">
        <v>10</v>
      </c>
      <c r="AJ193" s="19" t="s">
        <v>12</v>
      </c>
    </row>
    <row r="194" spans="1:36">
      <c r="E194" s="49" t="s">
        <v>3</v>
      </c>
      <c r="F194" s="49" t="s">
        <v>4</v>
      </c>
      <c r="G194" s="49" t="s">
        <v>5</v>
      </c>
      <c r="H194" s="49" t="s">
        <v>22</v>
      </c>
      <c r="I194" s="49" t="s">
        <v>5</v>
      </c>
      <c r="J194" s="49" t="s">
        <v>22</v>
      </c>
      <c r="K194" s="49" t="s">
        <v>6</v>
      </c>
      <c r="L194" s="49" t="s">
        <v>3</v>
      </c>
      <c r="M194" s="49" t="s">
        <v>4</v>
      </c>
      <c r="N194" s="49" t="s">
        <v>5</v>
      </c>
      <c r="O194" s="49" t="s">
        <v>22</v>
      </c>
      <c r="P194" s="49" t="s">
        <v>5</v>
      </c>
      <c r="Q194" s="49" t="s">
        <v>22</v>
      </c>
      <c r="R194" s="49" t="s">
        <v>6</v>
      </c>
      <c r="S194" s="49" t="s">
        <v>3</v>
      </c>
      <c r="T194" s="49" t="s">
        <v>4</v>
      </c>
      <c r="U194" s="49" t="s">
        <v>5</v>
      </c>
      <c r="V194" s="49" t="s">
        <v>22</v>
      </c>
      <c r="W194" s="49" t="s">
        <v>5</v>
      </c>
      <c r="X194" s="49" t="s">
        <v>22</v>
      </c>
      <c r="Y194" s="49" t="s">
        <v>6</v>
      </c>
      <c r="Z194" s="49" t="s">
        <v>3</v>
      </c>
      <c r="AA194" s="49" t="s">
        <v>4</v>
      </c>
      <c r="AB194" s="49" t="s">
        <v>5</v>
      </c>
      <c r="AC194" s="49" t="s">
        <v>22</v>
      </c>
      <c r="AD194" s="49" t="s">
        <v>5</v>
      </c>
      <c r="AE194" s="49" t="s">
        <v>22</v>
      </c>
      <c r="AF194" s="49" t="s">
        <v>6</v>
      </c>
      <c r="AG194" s="49" t="s">
        <v>3</v>
      </c>
      <c r="AH194" s="49" t="s">
        <v>4</v>
      </c>
      <c r="AI194" s="19" t="s">
        <v>11</v>
      </c>
      <c r="AJ194" s="19" t="s">
        <v>9</v>
      </c>
    </row>
    <row r="195" spans="1:36">
      <c r="A195" s="5" t="s">
        <v>19</v>
      </c>
    </row>
    <row r="196" spans="1:36">
      <c r="A196" s="12" t="s">
        <v>17</v>
      </c>
      <c r="F196" s="12">
        <v>871674.07</v>
      </c>
      <c r="G196" s="12">
        <v>863355.26</v>
      </c>
      <c r="H196" s="12">
        <v>927443.62</v>
      </c>
      <c r="K196" s="12">
        <v>1007858.86</v>
      </c>
      <c r="L196" s="12">
        <v>577960.26</v>
      </c>
      <c r="M196" s="12">
        <v>610101.61</v>
      </c>
      <c r="N196" s="12">
        <v>680626.22</v>
      </c>
      <c r="O196" s="12">
        <v>745216.93</v>
      </c>
      <c r="R196" s="12">
        <v>869551.92</v>
      </c>
      <c r="T196" s="12">
        <v>919613.66</v>
      </c>
      <c r="U196" s="12">
        <v>801516.47</v>
      </c>
      <c r="V196" s="12">
        <v>854427.1</v>
      </c>
      <c r="Y196" s="12">
        <v>954607.29</v>
      </c>
      <c r="Z196" s="12">
        <v>495806.67</v>
      </c>
      <c r="AA196" s="12">
        <v>556351.66</v>
      </c>
      <c r="AB196" s="12">
        <v>599269.74</v>
      </c>
      <c r="AC196" s="12">
        <v>668587.24</v>
      </c>
      <c r="AF196" s="12">
        <v>770622.73</v>
      </c>
      <c r="AG196" s="12">
        <v>947456.49</v>
      </c>
      <c r="AH196" s="12">
        <v>989195.09</v>
      </c>
      <c r="AI196" s="12">
        <f>SUM(F196:AH196)</f>
        <v>15711242.890000001</v>
      </c>
      <c r="AJ196" s="12">
        <f>AVERAGE(F196:AH196)</f>
        <v>785562.14450000005</v>
      </c>
    </row>
    <row r="197" spans="1:36">
      <c r="A197" s="12" t="s">
        <v>18</v>
      </c>
      <c r="F197" s="12">
        <v>583014.12</v>
      </c>
      <c r="G197" s="12">
        <v>560097.87</v>
      </c>
      <c r="H197" s="12">
        <v>557332.77</v>
      </c>
      <c r="K197" s="12">
        <v>539188.6</v>
      </c>
      <c r="L197" s="12">
        <v>467772.27</v>
      </c>
      <c r="M197" s="12">
        <v>462750.83</v>
      </c>
      <c r="N197" s="12">
        <v>408543.13</v>
      </c>
      <c r="O197" s="12">
        <v>404368.94</v>
      </c>
      <c r="R197" s="12">
        <v>371657.95</v>
      </c>
      <c r="T197" s="12">
        <v>364287.81</v>
      </c>
      <c r="U197" s="12">
        <v>359166.5</v>
      </c>
      <c r="V197" s="12">
        <v>718537.6</v>
      </c>
      <c r="Y197" s="12">
        <v>713258</v>
      </c>
      <c r="Z197" s="12">
        <v>563113.81999999995</v>
      </c>
      <c r="AA197" s="12">
        <v>457926.01</v>
      </c>
      <c r="AB197" s="12">
        <v>382269.74</v>
      </c>
      <c r="AC197" s="12">
        <v>361637.69</v>
      </c>
      <c r="AF197" s="12">
        <v>347133.66</v>
      </c>
      <c r="AG197" s="12">
        <v>316802.25</v>
      </c>
      <c r="AH197" s="12">
        <v>278773.65999999997</v>
      </c>
      <c r="AI197" s="12">
        <f>SUM(F197:AH197)</f>
        <v>9217633.2199999988</v>
      </c>
      <c r="AJ197" s="12">
        <f>AVERAGE(F197:AH197)</f>
        <v>460881.66099999996</v>
      </c>
    </row>
    <row r="198" spans="1:36" ht="15.75" thickBot="1">
      <c r="A198" s="14" t="s">
        <v>20</v>
      </c>
      <c r="F198" s="17">
        <f>+F197+F196</f>
        <v>1454688.19</v>
      </c>
      <c r="G198" s="17">
        <f>+G197+G196</f>
        <v>1423453.13</v>
      </c>
      <c r="H198" s="17">
        <f t="shared" ref="H198:AH198" si="16">+H197+H196</f>
        <v>1484776.3900000001</v>
      </c>
      <c r="I198" s="17">
        <f t="shared" si="16"/>
        <v>0</v>
      </c>
      <c r="J198" s="17">
        <f t="shared" si="16"/>
        <v>0</v>
      </c>
      <c r="K198" s="17">
        <f t="shared" si="16"/>
        <v>1547047.46</v>
      </c>
      <c r="L198" s="17">
        <f t="shared" si="16"/>
        <v>1045732.53</v>
      </c>
      <c r="M198" s="17">
        <f t="shared" si="16"/>
        <v>1072852.44</v>
      </c>
      <c r="N198" s="17">
        <f t="shared" si="16"/>
        <v>1089169.3500000001</v>
      </c>
      <c r="O198" s="17">
        <f t="shared" si="16"/>
        <v>1149585.8700000001</v>
      </c>
      <c r="P198" s="17">
        <f t="shared" si="16"/>
        <v>0</v>
      </c>
      <c r="Q198" s="17">
        <f t="shared" si="16"/>
        <v>0</v>
      </c>
      <c r="R198" s="17">
        <f t="shared" si="16"/>
        <v>1241209.8700000001</v>
      </c>
      <c r="S198" s="17">
        <f t="shared" si="16"/>
        <v>0</v>
      </c>
      <c r="T198" s="17">
        <f t="shared" si="16"/>
        <v>1283901.47</v>
      </c>
      <c r="U198" s="17">
        <f t="shared" si="16"/>
        <v>1160682.97</v>
      </c>
      <c r="V198" s="17">
        <f t="shared" si="16"/>
        <v>1572964.7</v>
      </c>
      <c r="W198" s="17">
        <f t="shared" si="16"/>
        <v>0</v>
      </c>
      <c r="X198" s="17">
        <f t="shared" si="16"/>
        <v>0</v>
      </c>
      <c r="Y198" s="17">
        <f t="shared" si="16"/>
        <v>1667865.29</v>
      </c>
      <c r="Z198" s="17">
        <f t="shared" si="16"/>
        <v>1058920.49</v>
      </c>
      <c r="AA198" s="17">
        <f t="shared" si="16"/>
        <v>1014277.67</v>
      </c>
      <c r="AB198" s="17">
        <f t="shared" si="16"/>
        <v>981539.48</v>
      </c>
      <c r="AC198" s="17">
        <f t="shared" si="16"/>
        <v>1030224.9299999999</v>
      </c>
      <c r="AD198" s="17">
        <f t="shared" si="16"/>
        <v>0</v>
      </c>
      <c r="AE198" s="17">
        <f t="shared" si="16"/>
        <v>0</v>
      </c>
      <c r="AF198" s="17">
        <f t="shared" si="16"/>
        <v>1117756.3899999999</v>
      </c>
      <c r="AG198" s="17">
        <f t="shared" si="16"/>
        <v>1264258.74</v>
      </c>
      <c r="AH198" s="17">
        <f t="shared" si="16"/>
        <v>1267968.75</v>
      </c>
      <c r="AI198" s="17">
        <f>SUM(AI196:AI197)</f>
        <v>24928876.109999999</v>
      </c>
      <c r="AJ198" s="17">
        <f>SUM(AJ196:AJ197)</f>
        <v>1246443.8055</v>
      </c>
    </row>
    <row r="199" spans="1:36" ht="15.75" thickTop="1">
      <c r="A199" t="s">
        <v>21</v>
      </c>
      <c r="U199" s="12">
        <v>200000</v>
      </c>
      <c r="Z199" s="12">
        <v>500000</v>
      </c>
    </row>
    <row r="200" spans="1:36">
      <c r="U200" s="12">
        <f>+U198+U199</f>
        <v>1360682.97</v>
      </c>
      <c r="V200" s="12" t="s">
        <v>29</v>
      </c>
      <c r="Z200" s="12">
        <f>+Z198+Z199</f>
        <v>1558920.49</v>
      </c>
    </row>
    <row r="204" spans="1:36" ht="18.75">
      <c r="A204" s="1" t="s">
        <v>0</v>
      </c>
    </row>
    <row r="205" spans="1:36">
      <c r="A205" s="18" t="s">
        <v>24</v>
      </c>
      <c r="B205" s="18" t="s">
        <v>25</v>
      </c>
    </row>
    <row r="206" spans="1:36">
      <c r="A206" s="18" t="s">
        <v>15</v>
      </c>
      <c r="B206" s="18">
        <v>2012</v>
      </c>
    </row>
    <row r="207" spans="1:36">
      <c r="E207" s="28">
        <v>1</v>
      </c>
      <c r="F207" s="28">
        <v>2</v>
      </c>
      <c r="G207" s="28">
        <v>3</v>
      </c>
      <c r="H207" s="28">
        <v>6</v>
      </c>
      <c r="I207" s="28">
        <v>9</v>
      </c>
      <c r="J207" s="28">
        <v>10</v>
      </c>
      <c r="K207" s="28">
        <v>7</v>
      </c>
      <c r="L207" s="28">
        <v>8</v>
      </c>
      <c r="M207" s="28">
        <v>9</v>
      </c>
      <c r="N207" s="28">
        <v>10</v>
      </c>
      <c r="O207" s="28">
        <v>13</v>
      </c>
      <c r="P207" s="28">
        <v>9</v>
      </c>
      <c r="Q207" s="28">
        <v>10</v>
      </c>
      <c r="R207" s="28">
        <v>14</v>
      </c>
      <c r="S207" s="28">
        <v>15</v>
      </c>
      <c r="T207" s="28">
        <v>16</v>
      </c>
      <c r="U207" s="28">
        <v>17</v>
      </c>
      <c r="V207" s="28">
        <v>20</v>
      </c>
      <c r="W207" s="28">
        <v>9</v>
      </c>
      <c r="X207" s="28">
        <v>10</v>
      </c>
      <c r="Y207" s="28">
        <v>21</v>
      </c>
      <c r="Z207" s="28">
        <v>22</v>
      </c>
      <c r="AA207" s="28">
        <v>23</v>
      </c>
      <c r="AB207" s="28">
        <v>24</v>
      </c>
      <c r="AC207" s="28">
        <v>27</v>
      </c>
      <c r="AD207" s="28">
        <v>27</v>
      </c>
      <c r="AE207" s="28">
        <v>27</v>
      </c>
      <c r="AF207" s="28">
        <v>28</v>
      </c>
      <c r="AG207" s="28">
        <v>29</v>
      </c>
      <c r="AH207" s="19" t="s">
        <v>10</v>
      </c>
      <c r="AI207" s="19" t="s">
        <v>12</v>
      </c>
    </row>
    <row r="208" spans="1:36">
      <c r="E208" s="49" t="s">
        <v>5</v>
      </c>
      <c r="F208" s="49" t="s">
        <v>22</v>
      </c>
      <c r="G208" s="49" t="s">
        <v>6</v>
      </c>
      <c r="H208" s="49" t="s">
        <v>3</v>
      </c>
      <c r="I208" s="49" t="s">
        <v>4</v>
      </c>
      <c r="J208" s="49" t="s">
        <v>5</v>
      </c>
      <c r="K208" s="49" t="s">
        <v>4</v>
      </c>
      <c r="L208" s="49" t="s">
        <v>5</v>
      </c>
      <c r="M208" s="49" t="s">
        <v>22</v>
      </c>
      <c r="N208" s="49" t="s">
        <v>6</v>
      </c>
      <c r="O208" s="49" t="s">
        <v>3</v>
      </c>
      <c r="P208" s="49" t="s">
        <v>4</v>
      </c>
      <c r="Q208" s="49" t="s">
        <v>5</v>
      </c>
      <c r="R208" s="49" t="s">
        <v>4</v>
      </c>
      <c r="S208" s="49" t="s">
        <v>5</v>
      </c>
      <c r="T208" s="49" t="s">
        <v>22</v>
      </c>
      <c r="U208" s="49" t="s">
        <v>6</v>
      </c>
      <c r="V208" s="49" t="s">
        <v>3</v>
      </c>
      <c r="W208" s="49" t="s">
        <v>4</v>
      </c>
      <c r="X208" s="49" t="s">
        <v>5</v>
      </c>
      <c r="Y208" s="49" t="s">
        <v>4</v>
      </c>
      <c r="Z208" s="49" t="s">
        <v>5</v>
      </c>
      <c r="AA208" s="49" t="s">
        <v>22</v>
      </c>
      <c r="AB208" s="49" t="s">
        <v>6</v>
      </c>
      <c r="AC208" s="49" t="s">
        <v>3</v>
      </c>
      <c r="AD208" s="49" t="s">
        <v>4</v>
      </c>
      <c r="AE208" s="49" t="s">
        <v>5</v>
      </c>
      <c r="AF208" s="49" t="s">
        <v>4</v>
      </c>
      <c r="AG208" s="49" t="s">
        <v>5</v>
      </c>
      <c r="AH208" s="19" t="s">
        <v>11</v>
      </c>
      <c r="AI208" s="19" t="s">
        <v>9</v>
      </c>
    </row>
    <row r="209" spans="1:36">
      <c r="A209" s="5" t="s">
        <v>19</v>
      </c>
    </row>
    <row r="210" spans="1:36">
      <c r="A210" s="12" t="s">
        <v>17</v>
      </c>
      <c r="E210" s="12">
        <v>609656.24</v>
      </c>
      <c r="F210" s="12">
        <v>637572.62</v>
      </c>
      <c r="G210" s="12">
        <v>751634.43</v>
      </c>
      <c r="H210" s="12">
        <v>831647.97</v>
      </c>
      <c r="K210" s="12">
        <v>844710.35</v>
      </c>
      <c r="L210" s="12">
        <v>935545.45</v>
      </c>
      <c r="M210" s="12">
        <v>987976.22</v>
      </c>
      <c r="N210" s="12">
        <v>1119820.6200000001</v>
      </c>
      <c r="O210" s="12">
        <v>990133.65</v>
      </c>
      <c r="R210" s="12">
        <v>1090560.79</v>
      </c>
      <c r="S210" s="12">
        <v>1131692.25</v>
      </c>
      <c r="T210" s="12">
        <v>725942.8</v>
      </c>
      <c r="U210" s="12">
        <v>842946.61</v>
      </c>
      <c r="V210" s="12">
        <v>912867.64</v>
      </c>
      <c r="Y210" s="12">
        <v>945356.54</v>
      </c>
      <c r="Z210" s="12">
        <v>1037142.33</v>
      </c>
      <c r="AA210" s="12">
        <v>1183559.53</v>
      </c>
      <c r="AB210" s="12">
        <v>1286282.8799999999</v>
      </c>
      <c r="AC210" s="12">
        <v>1372341.28</v>
      </c>
      <c r="AF210" s="12">
        <v>1419668.6</v>
      </c>
      <c r="AG210" s="12">
        <v>896472.47</v>
      </c>
      <c r="AH210" s="12">
        <f>SUM(E210:AG210)</f>
        <v>20553531.27</v>
      </c>
      <c r="AI210" s="12">
        <f>AVERAGE(E210:AG210)</f>
        <v>978739.58428571431</v>
      </c>
    </row>
    <row r="211" spans="1:36">
      <c r="A211" s="12" t="s">
        <v>18</v>
      </c>
      <c r="E211" s="12">
        <v>359793.96</v>
      </c>
      <c r="F211" s="12">
        <v>360380.73</v>
      </c>
      <c r="G211" s="12">
        <v>786424.28</v>
      </c>
      <c r="H211" s="12">
        <v>235653.04</v>
      </c>
      <c r="K211" s="12">
        <v>150349.34</v>
      </c>
      <c r="L211" s="12">
        <v>137011.91</v>
      </c>
      <c r="M211" s="12">
        <v>104564.02</v>
      </c>
      <c r="N211" s="12">
        <v>98816.3</v>
      </c>
      <c r="O211" s="12">
        <v>94301.87</v>
      </c>
      <c r="R211" s="12">
        <v>280386.98</v>
      </c>
      <c r="S211" s="12">
        <v>252618.93</v>
      </c>
      <c r="T211" s="12">
        <v>495859.06</v>
      </c>
      <c r="U211" s="12">
        <v>976359.72</v>
      </c>
      <c r="V211" s="12">
        <v>453817.22</v>
      </c>
      <c r="Y211" s="12">
        <v>371161.65</v>
      </c>
      <c r="Z211" s="12">
        <v>361526.12</v>
      </c>
      <c r="AA211" s="12">
        <v>364717.36</v>
      </c>
      <c r="AB211" s="12">
        <v>343755.74</v>
      </c>
      <c r="AC211" s="12">
        <v>420710.02</v>
      </c>
      <c r="AF211" s="12">
        <v>418377.99</v>
      </c>
      <c r="AG211" s="12">
        <v>438631.7</v>
      </c>
      <c r="AH211" s="12">
        <f>SUM(E211:AG211)</f>
        <v>7505217.9400000004</v>
      </c>
      <c r="AI211" s="12">
        <f>AVERAGE(E211:AG211)</f>
        <v>357391.33047619049</v>
      </c>
    </row>
    <row r="212" spans="1:36" ht="15.75" thickBot="1">
      <c r="A212" s="14" t="s">
        <v>20</v>
      </c>
      <c r="E212" s="17">
        <f>+E210+E211</f>
        <v>969450.2</v>
      </c>
      <c r="F212" s="17">
        <f t="shared" ref="F212:AG212" si="17">+F210+F211</f>
        <v>997953.35</v>
      </c>
      <c r="G212" s="17">
        <f t="shared" si="17"/>
        <v>1538058.71</v>
      </c>
      <c r="H212" s="17">
        <f t="shared" si="17"/>
        <v>1067301.01</v>
      </c>
      <c r="I212" s="17">
        <f t="shared" si="17"/>
        <v>0</v>
      </c>
      <c r="J212" s="17">
        <f t="shared" si="17"/>
        <v>0</v>
      </c>
      <c r="K212" s="17">
        <f t="shared" si="17"/>
        <v>995059.69</v>
      </c>
      <c r="L212" s="17">
        <f t="shared" si="17"/>
        <v>1072557.3599999999</v>
      </c>
      <c r="M212" s="17">
        <f t="shared" si="17"/>
        <v>1092540.24</v>
      </c>
      <c r="N212" s="17">
        <f t="shared" si="17"/>
        <v>1218636.9200000002</v>
      </c>
      <c r="O212" s="17">
        <f t="shared" si="17"/>
        <v>1084435.52</v>
      </c>
      <c r="P212" s="17">
        <f t="shared" si="17"/>
        <v>0</v>
      </c>
      <c r="Q212" s="17">
        <f t="shared" si="17"/>
        <v>0</v>
      </c>
      <c r="R212" s="17">
        <f t="shared" si="17"/>
        <v>1370947.77</v>
      </c>
      <c r="S212" s="17">
        <f t="shared" si="17"/>
        <v>1384311.18</v>
      </c>
      <c r="T212" s="17">
        <f t="shared" si="17"/>
        <v>1221801.8600000001</v>
      </c>
      <c r="U212" s="17">
        <f t="shared" si="17"/>
        <v>1819306.33</v>
      </c>
      <c r="V212" s="17">
        <f t="shared" si="17"/>
        <v>1366684.8599999999</v>
      </c>
      <c r="W212" s="17">
        <f t="shared" si="17"/>
        <v>0</v>
      </c>
      <c r="X212" s="17">
        <f t="shared" si="17"/>
        <v>0</v>
      </c>
      <c r="Y212" s="17">
        <f t="shared" si="17"/>
        <v>1316518.19</v>
      </c>
      <c r="Z212" s="17">
        <f t="shared" si="17"/>
        <v>1398668.45</v>
      </c>
      <c r="AA212" s="17">
        <f t="shared" si="17"/>
        <v>1548276.8900000001</v>
      </c>
      <c r="AB212" s="17">
        <f t="shared" si="17"/>
        <v>1630038.6199999999</v>
      </c>
      <c r="AC212" s="17">
        <f t="shared" si="17"/>
        <v>1793051.3</v>
      </c>
      <c r="AD212" s="17">
        <f t="shared" si="17"/>
        <v>0</v>
      </c>
      <c r="AE212" s="17">
        <f t="shared" si="17"/>
        <v>0</v>
      </c>
      <c r="AF212" s="17">
        <f t="shared" si="17"/>
        <v>1838046.59</v>
      </c>
      <c r="AG212" s="17">
        <f t="shared" si="17"/>
        <v>1335104.17</v>
      </c>
      <c r="AH212" s="17">
        <f>SUM(AH210:AH211)</f>
        <v>28058749.210000001</v>
      </c>
      <c r="AI212" s="17">
        <f>SUM(AI210:AI211)</f>
        <v>1336130.9147619049</v>
      </c>
    </row>
    <row r="213" spans="1:36" ht="15.75" thickTop="1">
      <c r="A213" t="s">
        <v>21</v>
      </c>
      <c r="E213" s="12">
        <v>500000</v>
      </c>
      <c r="F213" s="12">
        <v>500000</v>
      </c>
      <c r="O213" s="12">
        <v>200000</v>
      </c>
      <c r="T213" s="12">
        <v>500000</v>
      </c>
      <c r="AG213" s="12">
        <v>600000</v>
      </c>
    </row>
    <row r="214" spans="1:36">
      <c r="E214" s="12">
        <f>+E212+E213</f>
        <v>1469450.2</v>
      </c>
      <c r="F214" s="12">
        <f>+F212+F213</f>
        <v>1497953.35</v>
      </c>
      <c r="O214" s="12">
        <f>+O212+O213</f>
        <v>1284435.52</v>
      </c>
      <c r="T214" s="12">
        <f>+T212+T213</f>
        <v>1721801.86</v>
      </c>
      <c r="AG214" s="12">
        <f>+AG212+AG213</f>
        <v>1935104.17</v>
      </c>
    </row>
    <row r="219" spans="1:36" ht="18.75">
      <c r="A219" s="1" t="s">
        <v>0</v>
      </c>
    </row>
    <row r="220" spans="1:36">
      <c r="A220" s="18" t="s">
        <v>24</v>
      </c>
      <c r="B220" s="18" t="s">
        <v>25</v>
      </c>
    </row>
    <row r="221" spans="1:36">
      <c r="A221" s="18" t="s">
        <v>26</v>
      </c>
      <c r="B221" s="18">
        <v>2012</v>
      </c>
    </row>
    <row r="222" spans="1:36">
      <c r="E222" s="28">
        <v>1</v>
      </c>
      <c r="F222" s="28">
        <v>2</v>
      </c>
      <c r="G222" s="28">
        <v>5</v>
      </c>
      <c r="H222" s="28">
        <v>6</v>
      </c>
      <c r="I222" s="28">
        <v>9</v>
      </c>
      <c r="J222" s="28">
        <v>10</v>
      </c>
      <c r="K222" s="28">
        <v>7</v>
      </c>
      <c r="L222" s="28">
        <v>8</v>
      </c>
      <c r="M222" s="28">
        <v>9</v>
      </c>
      <c r="N222" s="47">
        <v>12</v>
      </c>
      <c r="O222" s="28">
        <v>13</v>
      </c>
      <c r="P222" s="28">
        <v>9</v>
      </c>
      <c r="Q222" s="28">
        <v>10</v>
      </c>
      <c r="R222" s="28">
        <v>14</v>
      </c>
      <c r="S222" s="28">
        <v>15</v>
      </c>
      <c r="T222" s="28">
        <v>16</v>
      </c>
      <c r="U222" s="28">
        <v>19</v>
      </c>
      <c r="V222" s="28">
        <v>20</v>
      </c>
      <c r="W222" s="28">
        <v>9</v>
      </c>
      <c r="X222" s="28">
        <v>10</v>
      </c>
      <c r="Y222" s="28">
        <v>21</v>
      </c>
      <c r="Z222" s="28">
        <v>22</v>
      </c>
      <c r="AA222" s="28">
        <v>23</v>
      </c>
      <c r="AB222" s="28">
        <v>26</v>
      </c>
      <c r="AC222" s="28">
        <v>27</v>
      </c>
      <c r="AD222" s="28">
        <v>27</v>
      </c>
      <c r="AE222" s="28">
        <v>27</v>
      </c>
      <c r="AF222" s="28">
        <v>28</v>
      </c>
      <c r="AG222" s="28">
        <v>29</v>
      </c>
      <c r="AH222" s="28">
        <v>30</v>
      </c>
      <c r="AI222" s="19" t="s">
        <v>10</v>
      </c>
      <c r="AJ222" s="19" t="s">
        <v>12</v>
      </c>
    </row>
    <row r="223" spans="1:36">
      <c r="E223" s="49" t="s">
        <v>22</v>
      </c>
      <c r="F223" s="49" t="s">
        <v>6</v>
      </c>
      <c r="G223" s="49" t="s">
        <v>3</v>
      </c>
      <c r="H223" s="49" t="s">
        <v>4</v>
      </c>
      <c r="I223" s="49" t="s">
        <v>5</v>
      </c>
      <c r="J223" s="49" t="s">
        <v>4</v>
      </c>
      <c r="K223" s="49" t="s">
        <v>5</v>
      </c>
      <c r="L223" s="49" t="s">
        <v>22</v>
      </c>
      <c r="M223" s="49" t="s">
        <v>6</v>
      </c>
      <c r="N223" s="49" t="s">
        <v>3</v>
      </c>
      <c r="O223" s="49" t="s">
        <v>4</v>
      </c>
      <c r="P223" s="49" t="s">
        <v>5</v>
      </c>
      <c r="Q223" s="49" t="s">
        <v>4</v>
      </c>
      <c r="R223" s="49" t="s">
        <v>5</v>
      </c>
      <c r="S223" s="49" t="s">
        <v>22</v>
      </c>
      <c r="T223" s="49" t="s">
        <v>6</v>
      </c>
      <c r="U223" s="49" t="s">
        <v>3</v>
      </c>
      <c r="V223" s="49" t="s">
        <v>4</v>
      </c>
      <c r="W223" s="49" t="s">
        <v>5</v>
      </c>
      <c r="X223" s="49" t="s">
        <v>4</v>
      </c>
      <c r="Y223" s="49" t="s">
        <v>5</v>
      </c>
      <c r="Z223" s="49" t="s">
        <v>22</v>
      </c>
      <c r="AA223" s="49" t="s">
        <v>6</v>
      </c>
      <c r="AB223" s="49" t="s">
        <v>3</v>
      </c>
      <c r="AC223" s="49" t="s">
        <v>4</v>
      </c>
      <c r="AD223" s="49" t="s">
        <v>5</v>
      </c>
      <c r="AE223" s="49" t="s">
        <v>4</v>
      </c>
      <c r="AF223" s="49" t="s">
        <v>5</v>
      </c>
      <c r="AG223" s="49" t="s">
        <v>22</v>
      </c>
      <c r="AH223" s="49" t="s">
        <v>6</v>
      </c>
      <c r="AI223" s="19" t="s">
        <v>11</v>
      </c>
      <c r="AJ223" s="19" t="s">
        <v>9</v>
      </c>
    </row>
    <row r="224" spans="1:36">
      <c r="A224" s="5" t="s">
        <v>19</v>
      </c>
    </row>
    <row r="225" spans="1:36">
      <c r="A225" s="12" t="s">
        <v>47</v>
      </c>
      <c r="E225" s="12">
        <v>967942.36</v>
      </c>
      <c r="F225" s="12">
        <v>1106794.73</v>
      </c>
      <c r="G225" s="12">
        <v>1144553.06</v>
      </c>
      <c r="H225" s="12">
        <v>1177464.53</v>
      </c>
      <c r="K225" s="12">
        <v>1247858.27</v>
      </c>
      <c r="L225" s="12">
        <v>1298977.68</v>
      </c>
      <c r="M225" s="12">
        <v>1486903.7</v>
      </c>
      <c r="N225" s="12">
        <v>1512478.8</v>
      </c>
      <c r="O225" s="12">
        <v>828210.73</v>
      </c>
      <c r="R225" s="12">
        <v>865515.05</v>
      </c>
      <c r="S225" s="12">
        <v>926851.06</v>
      </c>
      <c r="T225" s="12">
        <v>991320.13</v>
      </c>
      <c r="U225" s="12">
        <v>1054989</v>
      </c>
      <c r="V225" s="12">
        <v>1155715</v>
      </c>
      <c r="Y225" s="12">
        <v>1156013</v>
      </c>
      <c r="Z225" s="12">
        <v>1218890</v>
      </c>
      <c r="AA225" s="12">
        <v>1368883</v>
      </c>
      <c r="AB225" s="12">
        <v>1447094</v>
      </c>
      <c r="AC225" s="12">
        <v>860713.64</v>
      </c>
      <c r="AF225" s="12">
        <v>923865</v>
      </c>
      <c r="AG225" s="12">
        <v>1021452.04</v>
      </c>
      <c r="AH225" s="12">
        <v>1126939.94</v>
      </c>
      <c r="AI225" s="12">
        <f>SUM(E225:AH225)</f>
        <v>24889424.720000003</v>
      </c>
      <c r="AJ225" s="12">
        <f>AVERAGE(E225:AH225)</f>
        <v>1131337.4872727273</v>
      </c>
    </row>
    <row r="226" spans="1:36">
      <c r="A226" s="12" t="s">
        <v>18</v>
      </c>
      <c r="E226" s="16">
        <v>354448.72</v>
      </c>
      <c r="F226" s="16">
        <v>883499.65</v>
      </c>
      <c r="G226" s="16">
        <v>365312.02</v>
      </c>
      <c r="H226" s="16">
        <v>320709.95</v>
      </c>
      <c r="I226" s="16"/>
      <c r="J226" s="16"/>
      <c r="K226" s="16">
        <v>295355.34000000003</v>
      </c>
      <c r="L226" s="16">
        <v>260340.13</v>
      </c>
      <c r="M226" s="16">
        <v>252592.42</v>
      </c>
      <c r="N226" s="16">
        <v>225074.6</v>
      </c>
      <c r="O226" s="16">
        <v>202975.75</v>
      </c>
      <c r="P226" s="16"/>
      <c r="Q226" s="16"/>
      <c r="R226" s="16">
        <v>1002325.1</v>
      </c>
      <c r="S226" s="16">
        <v>879104.36199999996</v>
      </c>
      <c r="T226" s="16">
        <v>859222.29</v>
      </c>
      <c r="U226" s="51">
        <f>'[1]03.19.2012'!$J$102</f>
        <v>244736.9200000003</v>
      </c>
      <c r="V226" s="51">
        <f>U226</f>
        <v>244736.9200000003</v>
      </c>
      <c r="W226" s="16"/>
      <c r="X226" s="16"/>
      <c r="Y226" s="51">
        <f>'[1]03.21.2012'!$J$102</f>
        <v>245881.27000000028</v>
      </c>
      <c r="Z226" s="51">
        <f>'[1]03.22.2012'!$J$102</f>
        <v>235942.15000000023</v>
      </c>
      <c r="AA226" s="51">
        <f>'[1]03.23.2012'!$J$103</f>
        <v>224732.73000000021</v>
      </c>
      <c r="AB226" s="16">
        <v>216597.72</v>
      </c>
      <c r="AC226" s="16">
        <v>213677.62</v>
      </c>
      <c r="AD226" s="16"/>
      <c r="AE226" s="16"/>
      <c r="AF226" s="16">
        <v>164109.18</v>
      </c>
      <c r="AG226" s="16">
        <v>699673.54</v>
      </c>
      <c r="AH226" s="16">
        <v>737732.75</v>
      </c>
      <c r="AI226" s="12">
        <f>SUM(E226:AH226)</f>
        <v>9128781.1320000011</v>
      </c>
      <c r="AJ226" s="12">
        <f>AVERAGE(E226:AH226)</f>
        <v>414944.59690909093</v>
      </c>
    </row>
    <row r="227" spans="1:36" ht="15.75" thickBot="1">
      <c r="A227" s="14" t="s">
        <v>20</v>
      </c>
      <c r="E227" s="17">
        <f>+E225+E226</f>
        <v>1322391.08</v>
      </c>
      <c r="F227" s="17">
        <f t="shared" ref="F227:AH227" si="18">+F225+F226</f>
        <v>1990294.38</v>
      </c>
      <c r="G227" s="17">
        <f t="shared" si="18"/>
        <v>1509865.08</v>
      </c>
      <c r="H227" s="17">
        <f t="shared" si="18"/>
        <v>1498174.48</v>
      </c>
      <c r="I227" s="17">
        <f t="shared" si="18"/>
        <v>0</v>
      </c>
      <c r="J227" s="17">
        <f t="shared" si="18"/>
        <v>0</v>
      </c>
      <c r="K227" s="17">
        <f t="shared" si="18"/>
        <v>1543213.61</v>
      </c>
      <c r="L227" s="17">
        <f t="shared" si="18"/>
        <v>1559317.81</v>
      </c>
      <c r="M227" s="17">
        <f t="shared" si="18"/>
        <v>1739496.1199999999</v>
      </c>
      <c r="N227" s="17">
        <f t="shared" si="18"/>
        <v>1737553.4000000001</v>
      </c>
      <c r="O227" s="17">
        <f t="shared" si="18"/>
        <v>1031186.48</v>
      </c>
      <c r="P227" s="17">
        <f t="shared" si="18"/>
        <v>0</v>
      </c>
      <c r="Q227" s="17">
        <f t="shared" si="18"/>
        <v>0</v>
      </c>
      <c r="R227" s="17">
        <f t="shared" si="18"/>
        <v>1867840.15</v>
      </c>
      <c r="S227" s="17">
        <f t="shared" si="18"/>
        <v>1805955.422</v>
      </c>
      <c r="T227" s="17">
        <f t="shared" si="18"/>
        <v>1850542.42</v>
      </c>
      <c r="U227" s="17">
        <f t="shared" si="18"/>
        <v>1299725.9200000004</v>
      </c>
      <c r="V227" s="17">
        <f>SUM(V225:V226)</f>
        <v>1400451.9200000004</v>
      </c>
      <c r="W227" s="17">
        <f t="shared" si="18"/>
        <v>0</v>
      </c>
      <c r="X227" s="17">
        <f t="shared" si="18"/>
        <v>0</v>
      </c>
      <c r="Y227" s="17">
        <f t="shared" si="18"/>
        <v>1401894.2700000003</v>
      </c>
      <c r="Z227" s="17">
        <f t="shared" si="18"/>
        <v>1454832.1500000001</v>
      </c>
      <c r="AA227" s="17">
        <f t="shared" si="18"/>
        <v>1593615.7300000002</v>
      </c>
      <c r="AB227" s="17">
        <f t="shared" si="18"/>
        <v>1663691.72</v>
      </c>
      <c r="AC227" s="17">
        <f t="shared" si="18"/>
        <v>1074391.26</v>
      </c>
      <c r="AD227" s="17">
        <f t="shared" si="18"/>
        <v>0</v>
      </c>
      <c r="AE227" s="17">
        <f t="shared" si="18"/>
        <v>0</v>
      </c>
      <c r="AF227" s="17">
        <f t="shared" si="18"/>
        <v>1087974.18</v>
      </c>
      <c r="AG227" s="17">
        <f t="shared" si="18"/>
        <v>1721125.58</v>
      </c>
      <c r="AH227" s="17">
        <f t="shared" si="18"/>
        <v>1864672.69</v>
      </c>
      <c r="AI227" s="17">
        <f>SUM(AI225:AI226)</f>
        <v>34018205.852000006</v>
      </c>
      <c r="AJ227" s="17">
        <f>SUM(AJ225:AJ226)</f>
        <v>1546282.0841818182</v>
      </c>
    </row>
    <row r="228" spans="1:36" ht="15.75" thickTop="1">
      <c r="A228" t="s">
        <v>21</v>
      </c>
      <c r="E228" s="12">
        <v>600000</v>
      </c>
      <c r="O228" s="12">
        <v>700000</v>
      </c>
      <c r="AC228" s="12">
        <v>650000</v>
      </c>
      <c r="AF228" s="12">
        <v>650000</v>
      </c>
    </row>
    <row r="229" spans="1:36">
      <c r="E229" s="12">
        <f>+E227+E228</f>
        <v>1922391.08</v>
      </c>
      <c r="O229" s="12">
        <f>+O227+O228</f>
        <v>1731186.48</v>
      </c>
      <c r="AC229" s="56">
        <f>SUM(AC227:AC228)</f>
        <v>1724391.26</v>
      </c>
      <c r="AF229" s="56">
        <f>SUM(AF227:AF228)</f>
        <v>1737974.18</v>
      </c>
    </row>
    <row r="231" spans="1:36" ht="15.75" thickBot="1">
      <c r="A231" s="18" t="s">
        <v>48</v>
      </c>
      <c r="E231" s="12" t="s">
        <v>29</v>
      </c>
      <c r="F231" s="61">
        <f>F225-E225</f>
        <v>138852.37</v>
      </c>
      <c r="G231" s="12">
        <f>G225-F225</f>
        <v>37758.330000000075</v>
      </c>
      <c r="H231" s="12">
        <f>H225-G225</f>
        <v>32911.469999999972</v>
      </c>
      <c r="K231" s="12">
        <f>K225-H225</f>
        <v>70393.739999999991</v>
      </c>
      <c r="L231" s="12">
        <f t="shared" ref="L231:AE231" si="19">L225-K225</f>
        <v>51119.409999999916</v>
      </c>
      <c r="M231" s="60">
        <f t="shared" si="19"/>
        <v>187926.02000000002</v>
      </c>
      <c r="N231" s="12">
        <f t="shared" si="19"/>
        <v>25575.100000000093</v>
      </c>
      <c r="O231" s="12">
        <f>O225+O228-N225</f>
        <v>15731.929999999935</v>
      </c>
      <c r="P231" s="12">
        <f t="shared" si="19"/>
        <v>-828210.73</v>
      </c>
      <c r="Q231" s="12">
        <f t="shared" si="19"/>
        <v>0</v>
      </c>
      <c r="R231" s="12">
        <f>R225-O225</f>
        <v>37304.320000000065</v>
      </c>
      <c r="S231" s="12">
        <f t="shared" si="19"/>
        <v>61336.010000000009</v>
      </c>
      <c r="T231" s="12">
        <f t="shared" si="19"/>
        <v>64469.069999999949</v>
      </c>
      <c r="U231" s="12">
        <f t="shared" si="19"/>
        <v>63668.869999999995</v>
      </c>
      <c r="V231" s="61">
        <f t="shared" si="19"/>
        <v>100726</v>
      </c>
      <c r="W231" s="12">
        <f t="shared" si="19"/>
        <v>-1155715</v>
      </c>
      <c r="X231" s="12">
        <f t="shared" si="19"/>
        <v>0</v>
      </c>
      <c r="Y231" s="12">
        <f>Y225-V225</f>
        <v>298</v>
      </c>
      <c r="Z231" s="12">
        <f t="shared" si="19"/>
        <v>62877</v>
      </c>
      <c r="AA231" s="61">
        <f t="shared" si="19"/>
        <v>149993</v>
      </c>
      <c r="AB231" s="12">
        <f t="shared" si="19"/>
        <v>78211</v>
      </c>
      <c r="AC231" s="12">
        <f>AC225+AC228-AB225</f>
        <v>63619.64000000013</v>
      </c>
      <c r="AD231" s="12">
        <f t="shared" si="19"/>
        <v>-860713.64</v>
      </c>
      <c r="AE231" s="12">
        <f t="shared" si="19"/>
        <v>0</v>
      </c>
      <c r="AF231" s="12">
        <f>AF225-AC225</f>
        <v>63151.359999999986</v>
      </c>
      <c r="AG231" s="12">
        <f>AG225-AF225</f>
        <v>97587.040000000037</v>
      </c>
      <c r="AH231" s="12">
        <f>AH225-AG225</f>
        <v>105487.89999999991</v>
      </c>
      <c r="AI231" s="58"/>
    </row>
    <row r="232" spans="1:36" ht="15.75" thickBot="1">
      <c r="A232" s="18" t="s">
        <v>49</v>
      </c>
      <c r="F232" s="12">
        <f>F226-E226-E228</f>
        <v>-70949.069999999949</v>
      </c>
      <c r="G232" s="66">
        <f>G226-F226</f>
        <v>-518187.63</v>
      </c>
      <c r="H232" s="12">
        <f>H226-G226</f>
        <v>-44602.070000000007</v>
      </c>
      <c r="K232" s="12">
        <f>K226-H226</f>
        <v>-25354.609999999986</v>
      </c>
      <c r="L232" s="12">
        <f t="shared" ref="L232:AE232" si="20">L226-K226</f>
        <v>-35015.210000000021</v>
      </c>
      <c r="M232" s="12">
        <f t="shared" si="20"/>
        <v>-7747.7099999999919</v>
      </c>
      <c r="N232" s="12">
        <f t="shared" si="20"/>
        <v>-27517.820000000007</v>
      </c>
      <c r="O232" s="12">
        <f t="shared" si="20"/>
        <v>-22098.850000000006</v>
      </c>
      <c r="P232" s="12">
        <f t="shared" si="20"/>
        <v>-202975.75</v>
      </c>
      <c r="Q232" s="12">
        <f t="shared" si="20"/>
        <v>0</v>
      </c>
      <c r="R232" s="12">
        <f>R226-O228-O226</f>
        <v>99349.349999999977</v>
      </c>
      <c r="S232" s="12">
        <f t="shared" si="20"/>
        <v>-123220.73800000001</v>
      </c>
      <c r="T232" s="12">
        <f t="shared" si="20"/>
        <v>-19882.071999999927</v>
      </c>
      <c r="U232" s="66">
        <f t="shared" si="20"/>
        <v>-614485.36999999976</v>
      </c>
      <c r="V232" s="12">
        <f t="shared" si="20"/>
        <v>0</v>
      </c>
      <c r="W232" s="12">
        <f t="shared" si="20"/>
        <v>-244736.9200000003</v>
      </c>
      <c r="X232" s="12">
        <f t="shared" si="20"/>
        <v>0</v>
      </c>
      <c r="Y232" s="57">
        <f>Y226-V226</f>
        <v>1144.3499999999767</v>
      </c>
      <c r="Z232" s="12">
        <f t="shared" si="20"/>
        <v>-9939.1200000000536</v>
      </c>
      <c r="AA232" s="12">
        <f t="shared" si="20"/>
        <v>-11209.420000000013</v>
      </c>
      <c r="AB232" s="12">
        <f t="shared" si="20"/>
        <v>-8135.010000000213</v>
      </c>
      <c r="AC232" s="12">
        <f t="shared" si="20"/>
        <v>-2920.1000000000058</v>
      </c>
      <c r="AD232" s="12">
        <f t="shared" si="20"/>
        <v>-213677.62</v>
      </c>
      <c r="AE232" s="12">
        <f t="shared" si="20"/>
        <v>0</v>
      </c>
      <c r="AF232" s="12">
        <f>AF226-AC226</f>
        <v>-49568.44</v>
      </c>
      <c r="AG232" s="12">
        <f>AG226-AF226</f>
        <v>535564.3600000001</v>
      </c>
      <c r="AH232" s="12">
        <f>AH226-AG226</f>
        <v>38059.209999999963</v>
      </c>
      <c r="AI232" s="58"/>
    </row>
    <row r="233" spans="1:36">
      <c r="F233" s="62" t="s">
        <v>51</v>
      </c>
      <c r="G233" s="59" t="s">
        <v>50</v>
      </c>
      <c r="S233" s="62" t="s">
        <v>51</v>
      </c>
      <c r="U233" s="65"/>
      <c r="V233" s="64" t="s">
        <v>53</v>
      </c>
      <c r="W233" s="65"/>
      <c r="X233" s="65"/>
      <c r="Y233" s="65"/>
      <c r="Z233" s="65"/>
      <c r="AG233" s="63" t="s">
        <v>52</v>
      </c>
    </row>
    <row r="234" spans="1:36">
      <c r="U234" s="65"/>
      <c r="V234" s="64" t="s">
        <v>54</v>
      </c>
      <c r="W234" s="65"/>
      <c r="X234" s="65"/>
      <c r="Y234" s="65"/>
      <c r="Z234" s="65"/>
    </row>
    <row r="235" spans="1:36">
      <c r="U235" s="65"/>
      <c r="V235" s="64" t="s">
        <v>55</v>
      </c>
      <c r="W235" s="65"/>
      <c r="X235" s="65"/>
      <c r="Y235" s="65"/>
      <c r="Z235" s="65"/>
    </row>
    <row r="236" spans="1:36">
      <c r="U236" s="65"/>
      <c r="V236" s="65"/>
      <c r="W236" s="65"/>
      <c r="X236" s="65"/>
      <c r="Y236" s="65"/>
      <c r="Z236" s="65"/>
    </row>
    <row r="237" spans="1:36">
      <c r="E237" s="28">
        <v>2</v>
      </c>
      <c r="F237" s="28">
        <v>3</v>
      </c>
      <c r="G237" s="28">
        <v>4</v>
      </c>
      <c r="H237" s="28">
        <v>5</v>
      </c>
      <c r="I237" s="28">
        <v>9</v>
      </c>
      <c r="J237" s="28">
        <v>10</v>
      </c>
      <c r="K237" s="28">
        <v>6</v>
      </c>
      <c r="L237" s="28">
        <v>9</v>
      </c>
      <c r="M237" s="28">
        <v>10</v>
      </c>
      <c r="N237" s="47">
        <v>11</v>
      </c>
      <c r="O237" s="28">
        <v>12</v>
      </c>
      <c r="P237" s="28">
        <v>9</v>
      </c>
      <c r="Q237" s="28">
        <v>10</v>
      </c>
      <c r="R237" s="28">
        <v>13</v>
      </c>
      <c r="S237" s="28">
        <v>16</v>
      </c>
      <c r="T237" s="28">
        <v>17</v>
      </c>
      <c r="U237" s="28">
        <v>18</v>
      </c>
      <c r="V237" s="28">
        <v>19</v>
      </c>
      <c r="W237" s="28">
        <v>9</v>
      </c>
      <c r="X237" s="28">
        <v>10</v>
      </c>
      <c r="Y237" s="28">
        <v>20</v>
      </c>
      <c r="Z237" s="28">
        <v>23</v>
      </c>
      <c r="AA237" s="28">
        <v>24</v>
      </c>
      <c r="AB237" s="28">
        <v>25</v>
      </c>
      <c r="AC237" s="28">
        <v>26</v>
      </c>
      <c r="AD237" s="28">
        <v>27</v>
      </c>
      <c r="AE237" s="28">
        <v>27</v>
      </c>
      <c r="AF237" s="28">
        <v>27</v>
      </c>
      <c r="AG237" s="28">
        <v>30</v>
      </c>
      <c r="AH237" s="19" t="s">
        <v>10</v>
      </c>
      <c r="AI237" s="19" t="s">
        <v>12</v>
      </c>
    </row>
    <row r="238" spans="1:36">
      <c r="A238" s="18" t="s">
        <v>37</v>
      </c>
      <c r="B238" s="18">
        <v>2012</v>
      </c>
      <c r="E238" s="49" t="s">
        <v>3</v>
      </c>
      <c r="F238" s="49" t="s">
        <v>4</v>
      </c>
      <c r="G238" s="49" t="s">
        <v>5</v>
      </c>
      <c r="H238" s="49" t="s">
        <v>4</v>
      </c>
      <c r="I238" s="49" t="s">
        <v>5</v>
      </c>
      <c r="J238" s="49" t="s">
        <v>22</v>
      </c>
      <c r="K238" s="49" t="s">
        <v>6</v>
      </c>
      <c r="L238" s="49" t="s">
        <v>3</v>
      </c>
      <c r="M238" s="49" t="s">
        <v>4</v>
      </c>
      <c r="N238" s="49" t="s">
        <v>5</v>
      </c>
      <c r="O238" s="49" t="s">
        <v>22</v>
      </c>
      <c r="P238" s="49" t="s">
        <v>6</v>
      </c>
      <c r="Q238" s="49" t="s">
        <v>22</v>
      </c>
      <c r="R238" s="49" t="s">
        <v>6</v>
      </c>
      <c r="S238" s="49" t="s">
        <v>3</v>
      </c>
      <c r="T238" s="49" t="s">
        <v>4</v>
      </c>
      <c r="U238" s="49" t="s">
        <v>5</v>
      </c>
      <c r="V238" s="49" t="s">
        <v>22</v>
      </c>
      <c r="W238" s="49" t="s">
        <v>5</v>
      </c>
      <c r="X238" s="49" t="s">
        <v>22</v>
      </c>
      <c r="Y238" s="49" t="s">
        <v>6</v>
      </c>
      <c r="Z238" s="49" t="s">
        <v>3</v>
      </c>
      <c r="AA238" s="49" t="s">
        <v>4</v>
      </c>
      <c r="AB238" s="49" t="s">
        <v>5</v>
      </c>
      <c r="AC238" s="49" t="s">
        <v>61</v>
      </c>
      <c r="AD238" s="49" t="s">
        <v>5</v>
      </c>
      <c r="AE238" s="49" t="s">
        <v>22</v>
      </c>
      <c r="AF238" s="49" t="s">
        <v>6</v>
      </c>
      <c r="AG238" s="49" t="s">
        <v>3</v>
      </c>
      <c r="AH238" s="19" t="s">
        <v>11</v>
      </c>
      <c r="AI238" s="19" t="s">
        <v>9</v>
      </c>
    </row>
    <row r="239" spans="1:36">
      <c r="A239" s="12" t="s">
        <v>47</v>
      </c>
      <c r="E239" s="12">
        <v>1205821.1599999999</v>
      </c>
      <c r="F239" s="12">
        <v>1228339.46</v>
      </c>
      <c r="G239" s="12">
        <v>1271508.71</v>
      </c>
      <c r="H239" s="12">
        <v>930305.58</v>
      </c>
      <c r="K239" s="12">
        <v>1015879.43</v>
      </c>
      <c r="L239" s="12">
        <v>1093538.3899999999</v>
      </c>
      <c r="M239" s="12">
        <v>1153933.8999999999</v>
      </c>
      <c r="N239" s="12">
        <v>691161.1</v>
      </c>
      <c r="O239" s="12">
        <v>767584.19</v>
      </c>
      <c r="R239" s="12">
        <v>944570.82</v>
      </c>
      <c r="S239" s="12">
        <v>978717.19</v>
      </c>
      <c r="T239" s="12">
        <v>1060513.6299999999</v>
      </c>
      <c r="U239" s="12">
        <v>1113403.8700000001</v>
      </c>
      <c r="V239" s="12">
        <v>1176156.17</v>
      </c>
      <c r="Y239" s="12">
        <v>1293280.0900000001</v>
      </c>
      <c r="Z239" s="12">
        <v>1070013.9099999999</v>
      </c>
      <c r="AA239" s="12">
        <v>1138773.8</v>
      </c>
      <c r="AB239" s="12">
        <v>628809.97</v>
      </c>
      <c r="AC239" s="12">
        <v>685414.48</v>
      </c>
      <c r="AF239" s="12">
        <v>805636.28</v>
      </c>
      <c r="AG239" s="12">
        <v>876061.88</v>
      </c>
      <c r="AH239" s="12">
        <f>SUM(E239:AG239)</f>
        <v>21129424.009999998</v>
      </c>
      <c r="AI239" s="12">
        <f>AVERAGE(E239:AG239)</f>
        <v>1006163.048095238</v>
      </c>
    </row>
    <row r="240" spans="1:36">
      <c r="A240" s="12" t="s">
        <v>18</v>
      </c>
      <c r="E240" s="12">
        <v>381177.68</v>
      </c>
      <c r="F240" s="12">
        <v>170625.49</v>
      </c>
      <c r="G240" s="12">
        <v>163236.24</v>
      </c>
      <c r="H240" s="12">
        <v>135483.12</v>
      </c>
      <c r="K240" s="12">
        <v>97033.62</v>
      </c>
      <c r="L240" s="12">
        <v>373463.22</v>
      </c>
      <c r="M240" s="12">
        <v>361789.01</v>
      </c>
      <c r="N240" s="12">
        <v>588071.96</v>
      </c>
      <c r="O240" s="12">
        <v>530134.32999999996</v>
      </c>
      <c r="R240" s="12">
        <v>935049.91</v>
      </c>
      <c r="S240" s="12">
        <v>327247.35999999999</v>
      </c>
      <c r="T240" s="12">
        <v>273584.07</v>
      </c>
      <c r="U240" s="12">
        <v>275184.09999999998</v>
      </c>
      <c r="V240" s="12">
        <v>251430.43</v>
      </c>
      <c r="Y240" s="12">
        <v>231502.49</v>
      </c>
      <c r="Z240" s="12">
        <v>364103.48</v>
      </c>
      <c r="AA240" s="12">
        <v>375256.5</v>
      </c>
      <c r="AB240" s="12">
        <v>379512.08</v>
      </c>
      <c r="AC240" s="12">
        <v>385157.17</v>
      </c>
      <c r="AF240" s="65">
        <v>933641.46</v>
      </c>
      <c r="AG240" s="12">
        <v>333279.35999999999</v>
      </c>
      <c r="AH240" s="12">
        <f>SUM(E240:AG240)</f>
        <v>7865963.0800000001</v>
      </c>
      <c r="AI240" s="12">
        <f>AVERAGE(E240:AG240)</f>
        <v>374569.67047619045</v>
      </c>
    </row>
    <row r="241" spans="1:37" ht="15.75" thickBot="1">
      <c r="E241" s="53">
        <f>+E239+E240</f>
        <v>1586998.8399999999</v>
      </c>
      <c r="F241" s="17">
        <f>SUM(F239:F240)</f>
        <v>1398964.95</v>
      </c>
      <c r="G241" s="17">
        <f>SUM(G239:G240)</f>
        <v>1434744.95</v>
      </c>
      <c r="H241" s="17">
        <f>SUM(H239:H240)</f>
        <v>1065788.7</v>
      </c>
      <c r="K241" s="17">
        <f t="shared" ref="K241:R241" si="21">SUM(K239:K240)</f>
        <v>1112913.05</v>
      </c>
      <c r="L241" s="17">
        <f t="shared" si="21"/>
        <v>1467001.6099999999</v>
      </c>
      <c r="M241" s="17">
        <f t="shared" si="21"/>
        <v>1515722.91</v>
      </c>
      <c r="N241" s="17">
        <f t="shared" si="21"/>
        <v>1279233.06</v>
      </c>
      <c r="O241" s="17">
        <f t="shared" si="21"/>
        <v>1297718.52</v>
      </c>
      <c r="P241" s="17">
        <f t="shared" si="21"/>
        <v>0</v>
      </c>
      <c r="Q241" s="17">
        <f t="shared" si="21"/>
        <v>0</v>
      </c>
      <c r="R241" s="17">
        <f t="shared" si="21"/>
        <v>1879620.73</v>
      </c>
      <c r="S241" s="17">
        <f t="shared" ref="S241:AG241" si="22">SUM(S239:S240)</f>
        <v>1305964.5499999998</v>
      </c>
      <c r="T241" s="17">
        <f t="shared" si="22"/>
        <v>1334097.7</v>
      </c>
      <c r="U241" s="67">
        <f t="shared" si="22"/>
        <v>1388587.9700000002</v>
      </c>
      <c r="V241" s="67">
        <f t="shared" si="22"/>
        <v>1427586.5999999999</v>
      </c>
      <c r="W241" s="67">
        <f t="shared" si="22"/>
        <v>0</v>
      </c>
      <c r="X241" s="67">
        <f t="shared" si="22"/>
        <v>0</v>
      </c>
      <c r="Y241" s="67">
        <f t="shared" si="22"/>
        <v>1524782.58</v>
      </c>
      <c r="Z241" s="67">
        <f t="shared" si="22"/>
        <v>1434117.39</v>
      </c>
      <c r="AA241" s="67">
        <f t="shared" si="22"/>
        <v>1514030.3</v>
      </c>
      <c r="AB241" s="67">
        <f t="shared" si="22"/>
        <v>1008322.05</v>
      </c>
      <c r="AC241" s="67">
        <f t="shared" si="22"/>
        <v>1070571.6499999999</v>
      </c>
      <c r="AD241" s="67">
        <f t="shared" si="22"/>
        <v>0</v>
      </c>
      <c r="AE241" s="67">
        <f t="shared" si="22"/>
        <v>0</v>
      </c>
      <c r="AF241" s="67">
        <f t="shared" si="22"/>
        <v>1739277.74</v>
      </c>
      <c r="AG241" s="67">
        <f t="shared" si="22"/>
        <v>1209341.24</v>
      </c>
      <c r="AH241" s="17">
        <f>SUM(AH239:AH240)</f>
        <v>28995387.089999996</v>
      </c>
      <c r="AI241" s="17">
        <f>SUM(AI239:AI240)</f>
        <v>1380732.7185714284</v>
      </c>
    </row>
    <row r="242" spans="1:37" ht="15.75" thickTop="1">
      <c r="A242" t="s">
        <v>21</v>
      </c>
      <c r="H242" s="12">
        <v>400000</v>
      </c>
      <c r="K242" s="12">
        <v>400000</v>
      </c>
      <c r="N242" s="12">
        <v>500000</v>
      </c>
      <c r="O242" s="12">
        <f>N242</f>
        <v>500000</v>
      </c>
      <c r="Z242" s="65">
        <v>300000</v>
      </c>
      <c r="AA242" s="12" t="s">
        <v>29</v>
      </c>
      <c r="AB242" s="12">
        <v>600000</v>
      </c>
      <c r="AC242" s="12">
        <f>AB242</f>
        <v>600000</v>
      </c>
    </row>
    <row r="243" spans="1:37">
      <c r="H243" s="12">
        <f>SUM(H241:H242)</f>
        <v>1465788.7</v>
      </c>
      <c r="K243" s="12">
        <f>SUM(K241:K242)</f>
        <v>1512913.05</v>
      </c>
      <c r="N243" s="12">
        <f>SUM(N241:N242)</f>
        <v>1779233.06</v>
      </c>
      <c r="O243" s="12">
        <f>SUM(O241:O242)</f>
        <v>1797718.52</v>
      </c>
      <c r="Z243" s="12">
        <f>SUM(Z241:Z242)</f>
        <v>1734117.39</v>
      </c>
      <c r="AA243" s="12" t="s">
        <v>29</v>
      </c>
      <c r="AB243" s="12">
        <f>SUM(AB241:AB242)</f>
        <v>1608322.05</v>
      </c>
      <c r="AC243" s="12">
        <f>SUM(AC241:AC242)</f>
        <v>1670571.65</v>
      </c>
    </row>
    <row r="245" spans="1:37" ht="15.75" thickBot="1">
      <c r="A245" s="18" t="s">
        <v>48</v>
      </c>
      <c r="E245" s="12">
        <f>E239-AH225</f>
        <v>78881.219999999972</v>
      </c>
      <c r="F245" s="12">
        <f>F239-E239</f>
        <v>22518.300000000047</v>
      </c>
      <c r="G245" s="12">
        <f>G239-F239</f>
        <v>43169.25</v>
      </c>
      <c r="H245" s="12">
        <f>H239+H242-G239</f>
        <v>58796.870000000112</v>
      </c>
      <c r="K245" s="12">
        <f>K239-H239</f>
        <v>85573.850000000093</v>
      </c>
      <c r="L245" s="12">
        <f>L239-K239</f>
        <v>77658.959999999846</v>
      </c>
      <c r="M245" s="12">
        <f>M239-L239</f>
        <v>60395.510000000009</v>
      </c>
      <c r="N245" s="12">
        <f>N239+N242-M239</f>
        <v>37227.200000000186</v>
      </c>
      <c r="O245" s="12">
        <f>O239-N239</f>
        <v>76423.089999999967</v>
      </c>
      <c r="R245" s="12">
        <f>R239-O239</f>
        <v>176986.63</v>
      </c>
      <c r="S245" s="12">
        <f t="shared" ref="S245:X245" si="23">S239-R239</f>
        <v>34146.369999999995</v>
      </c>
      <c r="T245" s="12">
        <f t="shared" si="23"/>
        <v>81796.439999999944</v>
      </c>
      <c r="U245" s="12">
        <f t="shared" si="23"/>
        <v>52890.240000000224</v>
      </c>
      <c r="V245" s="12">
        <f t="shared" si="23"/>
        <v>62752.299999999814</v>
      </c>
      <c r="W245" s="12">
        <f t="shared" si="23"/>
        <v>-1176156.17</v>
      </c>
      <c r="X245" s="12">
        <f t="shared" si="23"/>
        <v>0</v>
      </c>
      <c r="Y245" s="12">
        <f>Y239-V239</f>
        <v>117123.92000000016</v>
      </c>
      <c r="Z245" s="12">
        <f>Z239-Y239+Z242</f>
        <v>76733.819999999832</v>
      </c>
      <c r="AA245" s="12">
        <f>AA239-Z239</f>
        <v>68759.89000000013</v>
      </c>
      <c r="AB245" s="12">
        <f>AB239-AA239+AB242</f>
        <v>90036.169999999925</v>
      </c>
      <c r="AC245" s="12">
        <f>AC239-AB239</f>
        <v>56604.510000000009</v>
      </c>
      <c r="AF245" s="12">
        <f>AF239-AC239</f>
        <v>120221.80000000005</v>
      </c>
      <c r="AG245" s="12">
        <f>AG239-AF239</f>
        <v>70425.599999999977</v>
      </c>
    </row>
    <row r="246" spans="1:37" ht="15.75" thickBot="1">
      <c r="A246" s="18" t="s">
        <v>49</v>
      </c>
      <c r="E246" s="66">
        <f>E240-AH226</f>
        <v>-356555.07</v>
      </c>
      <c r="F246" s="12">
        <f>F240-E240</f>
        <v>-210552.19</v>
      </c>
      <c r="G246" s="12">
        <f>G240-F240</f>
        <v>-7389.25</v>
      </c>
      <c r="H246" s="12">
        <f>H240-G240</f>
        <v>-27753.119999999995</v>
      </c>
      <c r="K246" s="12">
        <f>K240-H240</f>
        <v>-38449.5</v>
      </c>
      <c r="L246" s="61">
        <f>L240-K240-K242</f>
        <v>-123570.40000000002</v>
      </c>
      <c r="M246" s="12">
        <f>M240-L240</f>
        <v>-11674.209999999963</v>
      </c>
      <c r="N246" s="12">
        <f>N240-M240</f>
        <v>226282.94999999995</v>
      </c>
      <c r="O246" s="12">
        <f>O240-N240</f>
        <v>-57937.630000000005</v>
      </c>
      <c r="R246" s="12">
        <f>R240-O240</f>
        <v>404915.58000000007</v>
      </c>
      <c r="S246" s="12">
        <f>S240-R240+O242</f>
        <v>-107802.55000000005</v>
      </c>
      <c r="T246" s="12">
        <f>T240-S240</f>
        <v>-53663.289999999979</v>
      </c>
      <c r="U246" s="12">
        <f>U240-T240</f>
        <v>1600.0299999999697</v>
      </c>
      <c r="V246" s="12">
        <f>V240-U240</f>
        <v>-23753.669999999984</v>
      </c>
      <c r="W246" s="12">
        <f>W240-V240</f>
        <v>-251430.43</v>
      </c>
      <c r="X246" s="12">
        <f>X240-W240</f>
        <v>0</v>
      </c>
      <c r="Y246" s="12">
        <f>Y240-V240</f>
        <v>-19927.940000000002</v>
      </c>
      <c r="Z246" s="12">
        <f>Z240-Y240-Z242</f>
        <v>-167399.01</v>
      </c>
      <c r="AA246" s="65">
        <f>AA240-Z240</f>
        <v>11153.020000000019</v>
      </c>
      <c r="AB246" s="12">
        <f>AB240-AA240</f>
        <v>4255.5800000000163</v>
      </c>
    </row>
    <row r="247" spans="1:37">
      <c r="E247"/>
      <c r="F247" s="12">
        <f>F246+E246</f>
        <v>-567107.26</v>
      </c>
      <c r="L247" s="62" t="s">
        <v>51</v>
      </c>
      <c r="N247" s="65" t="s">
        <v>59</v>
      </c>
      <c r="R247" s="12" t="s">
        <v>60</v>
      </c>
      <c r="Z247" s="65" t="s">
        <v>64</v>
      </c>
      <c r="AA247" s="65" t="s">
        <v>66</v>
      </c>
      <c r="AB247" s="65" t="s">
        <v>67</v>
      </c>
      <c r="AG247" s="12" t="s">
        <v>62</v>
      </c>
    </row>
    <row r="248" spans="1:37">
      <c r="E248"/>
      <c r="F248" s="63" t="s">
        <v>56</v>
      </c>
      <c r="Z248" s="65" t="s">
        <v>65</v>
      </c>
      <c r="AA248" s="65" t="s">
        <v>29</v>
      </c>
    </row>
    <row r="249" spans="1:37">
      <c r="E249"/>
      <c r="AA249" s="65" t="s">
        <v>29</v>
      </c>
    </row>
    <row r="250" spans="1:37">
      <c r="E250"/>
    </row>
    <row r="251" spans="1:37">
      <c r="E251" s="28">
        <v>1</v>
      </c>
      <c r="F251" s="28">
        <v>2</v>
      </c>
      <c r="G251" s="28">
        <v>3</v>
      </c>
      <c r="H251" s="28">
        <v>4</v>
      </c>
      <c r="I251" s="28">
        <v>9</v>
      </c>
      <c r="J251" s="28">
        <v>10</v>
      </c>
      <c r="K251" s="28">
        <v>7</v>
      </c>
      <c r="L251" s="28">
        <v>8</v>
      </c>
      <c r="M251" s="28">
        <v>9</v>
      </c>
      <c r="N251" s="47">
        <v>10</v>
      </c>
      <c r="O251" s="28">
        <v>11</v>
      </c>
      <c r="P251" s="28">
        <v>9</v>
      </c>
      <c r="Q251" s="28">
        <v>10</v>
      </c>
      <c r="R251" s="28">
        <v>14</v>
      </c>
      <c r="S251" s="28">
        <v>15</v>
      </c>
      <c r="T251" s="28">
        <v>16</v>
      </c>
      <c r="U251" s="28">
        <v>17</v>
      </c>
      <c r="V251" s="28">
        <v>18</v>
      </c>
      <c r="W251" s="28">
        <v>9</v>
      </c>
      <c r="X251" s="28">
        <v>10</v>
      </c>
      <c r="Y251" s="28">
        <v>21</v>
      </c>
      <c r="Z251" s="28">
        <v>22</v>
      </c>
      <c r="AA251" s="28">
        <v>23</v>
      </c>
      <c r="AB251" s="28">
        <v>24</v>
      </c>
      <c r="AC251" s="28">
        <v>25</v>
      </c>
      <c r="AD251" s="28">
        <v>27</v>
      </c>
      <c r="AE251" s="28">
        <v>27</v>
      </c>
      <c r="AF251" s="28">
        <v>28</v>
      </c>
      <c r="AG251" s="28">
        <v>29</v>
      </c>
      <c r="AH251" s="28">
        <v>30</v>
      </c>
      <c r="AI251" s="28">
        <v>31</v>
      </c>
      <c r="AJ251" s="19" t="s">
        <v>10</v>
      </c>
      <c r="AK251" s="19" t="s">
        <v>12</v>
      </c>
    </row>
    <row r="252" spans="1:37">
      <c r="E252" s="49" t="s">
        <v>4</v>
      </c>
      <c r="F252" s="49" t="s">
        <v>5</v>
      </c>
      <c r="G252" s="49" t="s">
        <v>22</v>
      </c>
      <c r="H252" s="49" t="s">
        <v>6</v>
      </c>
      <c r="I252" s="49" t="s">
        <v>22</v>
      </c>
      <c r="J252" s="49" t="s">
        <v>6</v>
      </c>
      <c r="K252" s="49" t="s">
        <v>3</v>
      </c>
      <c r="L252" s="49" t="s">
        <v>4</v>
      </c>
      <c r="M252" s="49" t="s">
        <v>5</v>
      </c>
      <c r="N252" s="49" t="s">
        <v>22</v>
      </c>
      <c r="O252" s="49" t="s">
        <v>6</v>
      </c>
      <c r="P252" s="49" t="s">
        <v>22</v>
      </c>
      <c r="Q252" s="49" t="s">
        <v>6</v>
      </c>
      <c r="R252" s="49" t="s">
        <v>3</v>
      </c>
      <c r="S252" s="49" t="s">
        <v>4</v>
      </c>
      <c r="T252" s="49" t="s">
        <v>5</v>
      </c>
      <c r="U252" s="49" t="s">
        <v>22</v>
      </c>
      <c r="V252" s="49" t="s">
        <v>6</v>
      </c>
      <c r="W252" s="49" t="s">
        <v>22</v>
      </c>
      <c r="X252" s="49" t="s">
        <v>6</v>
      </c>
      <c r="Y252" s="49" t="s">
        <v>3</v>
      </c>
      <c r="Z252" s="49" t="s">
        <v>4</v>
      </c>
      <c r="AA252" s="49" t="s">
        <v>5</v>
      </c>
      <c r="AB252" s="49" t="s">
        <v>61</v>
      </c>
      <c r="AC252" s="49" t="s">
        <v>6</v>
      </c>
      <c r="AD252" s="49" t="s">
        <v>22</v>
      </c>
      <c r="AE252" s="49" t="s">
        <v>6</v>
      </c>
      <c r="AF252" s="49" t="s">
        <v>3</v>
      </c>
      <c r="AG252" s="49" t="s">
        <v>4</v>
      </c>
      <c r="AH252" s="49" t="s">
        <v>5</v>
      </c>
      <c r="AI252" s="49" t="s">
        <v>61</v>
      </c>
      <c r="AJ252" s="19" t="s">
        <v>11</v>
      </c>
      <c r="AK252" s="19" t="s">
        <v>9</v>
      </c>
    </row>
    <row r="253" spans="1:37">
      <c r="A253" s="18" t="s">
        <v>38</v>
      </c>
      <c r="B253" s="18">
        <v>2012</v>
      </c>
    </row>
    <row r="254" spans="1:37">
      <c r="A254" s="12" t="s">
        <v>47</v>
      </c>
      <c r="E254" s="12">
        <v>979161.77</v>
      </c>
      <c r="F254" s="12">
        <v>1023180.11</v>
      </c>
      <c r="G254" s="12">
        <v>1128958.7</v>
      </c>
      <c r="H254" s="12">
        <v>1226135.21</v>
      </c>
      <c r="K254" s="12">
        <v>1268745.7</v>
      </c>
      <c r="L254" s="12">
        <v>1293707.3400000001</v>
      </c>
      <c r="M254" s="12">
        <v>642285.97</v>
      </c>
      <c r="N254" s="12">
        <v>692992.5</v>
      </c>
      <c r="O254" s="12">
        <v>754764.96</v>
      </c>
      <c r="R254" s="12">
        <v>801593</v>
      </c>
      <c r="S254" s="12">
        <v>889623.33</v>
      </c>
      <c r="T254" s="12">
        <v>940091.5</v>
      </c>
      <c r="U254" s="12">
        <v>1022120.72</v>
      </c>
      <c r="V254" s="12">
        <v>1067772.82</v>
      </c>
      <c r="Y254" s="12">
        <v>1042381.14</v>
      </c>
      <c r="Z254" s="12">
        <v>1064187.47</v>
      </c>
      <c r="AA254" s="12">
        <v>987011.73</v>
      </c>
      <c r="AB254" s="12">
        <v>750832.02</v>
      </c>
      <c r="AC254" s="12">
        <v>821070.3</v>
      </c>
      <c r="AG254" s="12">
        <v>911457.09</v>
      </c>
      <c r="AH254" s="12">
        <v>1062513.33</v>
      </c>
      <c r="AI254" s="12">
        <v>1121508.48</v>
      </c>
      <c r="AJ254" s="12">
        <f>SUM(E254:AI254)</f>
        <v>21492095.190000001</v>
      </c>
      <c r="AK254" s="12">
        <f>AVERAGE(E254:AI254)</f>
        <v>976913.41772727284</v>
      </c>
    </row>
    <row r="255" spans="1:37">
      <c r="A255" s="12" t="s">
        <v>18</v>
      </c>
      <c r="E255" s="12">
        <v>298376.49</v>
      </c>
      <c r="F255" s="12">
        <v>513423.42</v>
      </c>
      <c r="G255" s="12">
        <v>518821.54</v>
      </c>
      <c r="H255" s="12">
        <v>451108.25</v>
      </c>
      <c r="K255" s="12">
        <v>435532.82</v>
      </c>
      <c r="L255" s="12">
        <v>348713.86</v>
      </c>
      <c r="M255" s="12">
        <v>324687.42</v>
      </c>
      <c r="N255" s="12">
        <v>300380.31</v>
      </c>
      <c r="O255" s="12">
        <v>804381.75</v>
      </c>
      <c r="R255" s="57">
        <f>'[2]5.14.2012'!$J$105</f>
        <v>0</v>
      </c>
      <c r="S255" s="57">
        <f>'[2]5.15.2012'!$J$106</f>
        <v>0</v>
      </c>
      <c r="T255" s="57">
        <f>'[2]5.16.2012'!$J$104</f>
        <v>0</v>
      </c>
      <c r="U255" s="12">
        <v>388645.06</v>
      </c>
      <c r="V255" s="12">
        <v>562027.81999999995</v>
      </c>
      <c r="Y255" s="57">
        <f>'[3]5.21.2012'!$J$104</f>
        <v>495036.70000000024</v>
      </c>
      <c r="Z255" s="57">
        <f>'[3]5.22.2012'!$J$105</f>
        <v>510119.17000000057</v>
      </c>
      <c r="AA255" s="57">
        <f>'[3]5.23.2012'!$J$104</f>
        <v>461895.93000000052</v>
      </c>
      <c r="AB255" s="57">
        <f>'[3]5.24.2012'!$J$105</f>
        <v>451413.17000000051</v>
      </c>
      <c r="AC255" s="57">
        <f>'[3]5.25.2012'!$J$104</f>
        <v>860073.66000000027</v>
      </c>
      <c r="AF255" s="22" t="s">
        <v>79</v>
      </c>
      <c r="AG255" s="57">
        <f>'[4]5.29.2012'!$J$104</f>
        <v>110971.84000000003</v>
      </c>
      <c r="AH255" s="57">
        <f>'[4]5.30.2012'!$J$104</f>
        <v>70719.130000000063</v>
      </c>
      <c r="AI255" s="57">
        <f>'[4]5.31.2012'!$J$104</f>
        <v>81951.460000000094</v>
      </c>
      <c r="AJ255" s="12">
        <f>SUM(E255:AI255)</f>
        <v>7988279.8000000026</v>
      </c>
      <c r="AK255" s="12">
        <f>AVERAGE(E255:AI255)</f>
        <v>363103.62727272738</v>
      </c>
    </row>
    <row r="256" spans="1:37" ht="15.75" thickBot="1">
      <c r="E256" s="17">
        <f>SUM(E254:E255)</f>
        <v>1277538.26</v>
      </c>
      <c r="F256" s="17">
        <f>SUM(F254:F255)</f>
        <v>1536603.53</v>
      </c>
      <c r="G256" s="17">
        <f t="shared" ref="G256:O256" si="24">SUM(G254:G255)</f>
        <v>1647780.24</v>
      </c>
      <c r="H256" s="17">
        <f t="shared" si="24"/>
        <v>1677243.46</v>
      </c>
      <c r="I256" s="17">
        <f t="shared" si="24"/>
        <v>0</v>
      </c>
      <c r="J256" s="17">
        <f t="shared" si="24"/>
        <v>0</v>
      </c>
      <c r="K256" s="17">
        <f t="shared" si="24"/>
        <v>1704278.52</v>
      </c>
      <c r="L256" s="17">
        <f t="shared" si="24"/>
        <v>1642421.2000000002</v>
      </c>
      <c r="M256" s="17">
        <f t="shared" si="24"/>
        <v>966973.3899999999</v>
      </c>
      <c r="N256" s="17">
        <f t="shared" si="24"/>
        <v>993372.81</v>
      </c>
      <c r="O256" s="17">
        <f t="shared" si="24"/>
        <v>1559146.71</v>
      </c>
      <c r="R256" s="17">
        <f t="shared" ref="R256:S256" si="25">SUM(R254:R255)</f>
        <v>801593</v>
      </c>
      <c r="S256" s="17">
        <f t="shared" si="25"/>
        <v>889623.33</v>
      </c>
      <c r="T256" s="17">
        <f>SUM(T254:T255)</f>
        <v>940091.5</v>
      </c>
      <c r="U256" s="17">
        <f t="shared" ref="U256:V256" si="26">SUM(U254:U255)</f>
        <v>1410765.78</v>
      </c>
      <c r="V256" s="17">
        <f t="shared" si="26"/>
        <v>1629800.6400000001</v>
      </c>
      <c r="Y256" s="17">
        <f t="shared" ref="Y256:AI256" si="27">SUM(Y254:Y255)</f>
        <v>1537417.8400000003</v>
      </c>
      <c r="Z256" s="17">
        <f t="shared" si="27"/>
        <v>1574306.6400000006</v>
      </c>
      <c r="AA256" s="17">
        <f t="shared" si="27"/>
        <v>1448907.6600000006</v>
      </c>
      <c r="AB256" s="17">
        <f t="shared" si="27"/>
        <v>1202245.1900000004</v>
      </c>
      <c r="AC256" s="17">
        <f t="shared" si="27"/>
        <v>1681143.9600000004</v>
      </c>
      <c r="AD256" s="17">
        <f t="shared" si="27"/>
        <v>0</v>
      </c>
      <c r="AE256" s="17">
        <f t="shared" si="27"/>
        <v>0</v>
      </c>
      <c r="AF256" s="17">
        <f t="shared" si="27"/>
        <v>0</v>
      </c>
      <c r="AG256" s="17">
        <f t="shared" si="27"/>
        <v>1022428.9299999999</v>
      </c>
      <c r="AH256" s="17">
        <f t="shared" si="27"/>
        <v>1133232.4600000002</v>
      </c>
      <c r="AI256" s="17">
        <f t="shared" si="27"/>
        <v>1203459.9400000002</v>
      </c>
      <c r="AJ256" s="17">
        <f>SUM(AJ254:AJ255)</f>
        <v>29480374.990000002</v>
      </c>
      <c r="AK256" s="17">
        <f>SUM(AK254:AK255)</f>
        <v>1340017.0450000002</v>
      </c>
    </row>
    <row r="257" spans="1:35" ht="15.75" thickTop="1">
      <c r="A257" t="s">
        <v>21</v>
      </c>
      <c r="M257" s="12">
        <f>K264</f>
        <v>700000</v>
      </c>
      <c r="N257" s="12">
        <f>M257</f>
        <v>700000</v>
      </c>
      <c r="AB257" s="12">
        <v>500000</v>
      </c>
      <c r="AC257" s="12">
        <f>AB257</f>
        <v>500000</v>
      </c>
    </row>
    <row r="258" spans="1:35">
      <c r="AB258" s="12">
        <f>SUM(AB256:AB257)</f>
        <v>1702245.1900000004</v>
      </c>
    </row>
    <row r="259" spans="1:35">
      <c r="M259" s="12">
        <f>SUM(M256:M257)</f>
        <v>1666973.39</v>
      </c>
      <c r="N259" s="12">
        <f>SUM(N256:N257)</f>
        <v>1693372.81</v>
      </c>
    </row>
    <row r="260" spans="1:35">
      <c r="A260" s="18" t="s">
        <v>48</v>
      </c>
      <c r="F260" s="12">
        <f>F254-E254</f>
        <v>44018.339999999967</v>
      </c>
      <c r="G260" s="12">
        <f t="shared" ref="G260:L260" si="28">G254-F254</f>
        <v>105778.58999999997</v>
      </c>
      <c r="H260" s="12">
        <f t="shared" si="28"/>
        <v>97176.510000000009</v>
      </c>
      <c r="I260" s="12">
        <f t="shared" si="28"/>
        <v>-1226135.21</v>
      </c>
      <c r="J260" s="12">
        <f t="shared" si="28"/>
        <v>0</v>
      </c>
      <c r="K260" s="12">
        <f>K254-H254</f>
        <v>42610.489999999991</v>
      </c>
      <c r="L260" s="12">
        <f t="shared" si="28"/>
        <v>24961.64000000013</v>
      </c>
      <c r="M260" s="12">
        <f>M254+M257-L254</f>
        <v>48578.629999999888</v>
      </c>
      <c r="N260" s="12">
        <f>N254-M254</f>
        <v>50706.530000000028</v>
      </c>
      <c r="O260" s="12">
        <f>O254-N254</f>
        <v>61772.459999999963</v>
      </c>
      <c r="R260" s="12">
        <f>R254-O254</f>
        <v>46828.040000000037</v>
      </c>
      <c r="S260" s="12">
        <f>S254-R254</f>
        <v>88030.329999999958</v>
      </c>
      <c r="T260" s="12">
        <f>T254-S254</f>
        <v>50468.170000000042</v>
      </c>
      <c r="U260" s="12">
        <f>U254-T254</f>
        <v>82029.219999999972</v>
      </c>
      <c r="V260" s="12">
        <f>V254-U254</f>
        <v>45652.100000000093</v>
      </c>
      <c r="Y260" s="12">
        <f t="shared" ref="Y260:AA261" si="29">Y254-V254</f>
        <v>-25391.680000000051</v>
      </c>
      <c r="Z260" s="12">
        <f t="shared" si="29"/>
        <v>1064187.47</v>
      </c>
      <c r="AA260" s="12">
        <f t="shared" si="29"/>
        <v>987011.73</v>
      </c>
      <c r="AB260" s="12">
        <f>AB254-Y254+AB257</f>
        <v>208450.88</v>
      </c>
      <c r="AC260" s="12">
        <f>AC254-AB254</f>
        <v>70238.280000000028</v>
      </c>
      <c r="AD260" s="12">
        <f>AD254-AA254</f>
        <v>-987011.73</v>
      </c>
      <c r="AE260" s="12">
        <f>AE254-AB254</f>
        <v>-750832.02</v>
      </c>
      <c r="AF260" s="12" t="s">
        <v>29</v>
      </c>
      <c r="AG260" s="12">
        <f>AG254-AC254</f>
        <v>90386.789999999921</v>
      </c>
      <c r="AH260" s="75">
        <f>AH254-AG254</f>
        <v>151056.24000000011</v>
      </c>
      <c r="AI260" s="12">
        <f>AI254-AH254</f>
        <v>58995.149999999907</v>
      </c>
    </row>
    <row r="261" spans="1:35">
      <c r="A261" s="18" t="s">
        <v>49</v>
      </c>
      <c r="F261" s="65">
        <f>F255-E255</f>
        <v>215046.93</v>
      </c>
      <c r="G261" s="56">
        <f t="shared" ref="G261:L261" si="30">G255-F255</f>
        <v>5398.1199999999953</v>
      </c>
      <c r="H261" s="56">
        <f t="shared" si="30"/>
        <v>-67713.289999999979</v>
      </c>
      <c r="I261" s="56">
        <f t="shared" si="30"/>
        <v>-451108.25</v>
      </c>
      <c r="J261" s="56">
        <f t="shared" si="30"/>
        <v>0</v>
      </c>
      <c r="K261" s="56">
        <f>K255-H255</f>
        <v>-15575.429999999993</v>
      </c>
      <c r="L261" s="56">
        <f t="shared" si="30"/>
        <v>-86818.960000000021</v>
      </c>
      <c r="M261" s="12">
        <f>M255-L255</f>
        <v>-24026.440000000002</v>
      </c>
      <c r="N261" s="12">
        <f>N255-M255</f>
        <v>-24307.109999999986</v>
      </c>
      <c r="O261" s="12">
        <f>O255-N257-N255</f>
        <v>-195998.56</v>
      </c>
      <c r="R261" s="57">
        <f>R255-O255</f>
        <v>-804381.75</v>
      </c>
      <c r="S261" s="57">
        <f>S255-R255</f>
        <v>0</v>
      </c>
      <c r="T261" s="57">
        <f>T255-S255</f>
        <v>0</v>
      </c>
      <c r="U261" s="12">
        <f>U255-T255-U265</f>
        <v>134094.95370866664</v>
      </c>
      <c r="V261" s="12">
        <f>V255-U255-V264</f>
        <v>9213.7599999999511</v>
      </c>
      <c r="Y261" s="57">
        <f t="shared" si="29"/>
        <v>-66991.119999999704</v>
      </c>
      <c r="Z261" s="57">
        <f t="shared" si="29"/>
        <v>510119.17000000057</v>
      </c>
      <c r="AA261" s="57">
        <f t="shared" si="29"/>
        <v>461895.93000000052</v>
      </c>
      <c r="AB261" s="57">
        <f>AB255-Y255</f>
        <v>-43623.529999999737</v>
      </c>
      <c r="AC261" s="57">
        <f>AC255-AB255-AC257</f>
        <v>-91339.510000000242</v>
      </c>
      <c r="AD261" s="57">
        <f>AD255-AA255</f>
        <v>-461895.93000000052</v>
      </c>
      <c r="AE261" s="57">
        <f>AE255-AB255</f>
        <v>-451413.17000000051</v>
      </c>
      <c r="AF261" s="57" t="s">
        <v>29</v>
      </c>
      <c r="AG261" s="76">
        <f>AG255-AC255</f>
        <v>-749101.8200000003</v>
      </c>
      <c r="AH261" s="57">
        <f>AH255-AG255</f>
        <v>-40252.709999999963</v>
      </c>
      <c r="AI261" s="57">
        <f>AI255-AH255</f>
        <v>11232.330000000031</v>
      </c>
    </row>
    <row r="262" spans="1:35">
      <c r="F262" s="65" t="s">
        <v>63</v>
      </c>
      <c r="O262" s="70" t="s">
        <v>69</v>
      </c>
      <c r="R262" s="63" t="s">
        <v>75</v>
      </c>
      <c r="S262" s="63"/>
      <c r="T262" s="63" t="s">
        <v>74</v>
      </c>
      <c r="U262" s="59"/>
    </row>
    <row r="263" spans="1:35">
      <c r="O263" s="69" t="s">
        <v>70</v>
      </c>
      <c r="U263" s="59" t="s">
        <v>76</v>
      </c>
      <c r="AG263" s="74" t="s">
        <v>80</v>
      </c>
      <c r="AH263" s="74" t="s">
        <v>81</v>
      </c>
    </row>
    <row r="264" spans="1:35">
      <c r="A264" t="s">
        <v>68</v>
      </c>
      <c r="K264" s="12">
        <v>700000</v>
      </c>
      <c r="O264" s="69" t="s">
        <v>71</v>
      </c>
      <c r="U264" s="69" t="s">
        <v>77</v>
      </c>
      <c r="V264" s="72">
        <f>[5]Sheet1!$I$75</f>
        <v>164169</v>
      </c>
      <c r="AG264" s="74" t="s">
        <v>82</v>
      </c>
      <c r="AH264" s="74" t="s">
        <v>83</v>
      </c>
    </row>
    <row r="265" spans="1:35">
      <c r="O265" s="69" t="s">
        <v>72</v>
      </c>
      <c r="U265" s="71">
        <f>'[6]2011-12'!$G$122</f>
        <v>254550.10629133336</v>
      </c>
      <c r="V265" s="73" t="s">
        <v>78</v>
      </c>
    </row>
    <row r="266" spans="1:35">
      <c r="O266" s="69" t="s">
        <v>73</v>
      </c>
    </row>
    <row r="267" spans="1:35">
      <c r="O267" s="69"/>
      <c r="AH267"/>
    </row>
    <row r="268" spans="1:35">
      <c r="E268" s="28">
        <v>1</v>
      </c>
      <c r="F268" s="28">
        <v>4</v>
      </c>
      <c r="G268" s="28">
        <v>5</v>
      </c>
      <c r="H268" s="28">
        <v>6</v>
      </c>
      <c r="I268" s="28">
        <v>9</v>
      </c>
      <c r="J268" s="28">
        <v>10</v>
      </c>
      <c r="K268" s="28">
        <v>7</v>
      </c>
      <c r="L268" s="28">
        <v>8</v>
      </c>
      <c r="M268" s="28">
        <v>11</v>
      </c>
      <c r="N268" s="47">
        <v>12</v>
      </c>
      <c r="O268" s="28">
        <v>13</v>
      </c>
      <c r="P268" s="28">
        <v>9</v>
      </c>
      <c r="Q268" s="28">
        <v>10</v>
      </c>
      <c r="R268" s="28">
        <v>14</v>
      </c>
      <c r="S268" s="28">
        <v>15</v>
      </c>
      <c r="T268" s="28">
        <v>18</v>
      </c>
      <c r="U268" s="28">
        <v>19</v>
      </c>
      <c r="V268" s="28">
        <v>20</v>
      </c>
      <c r="W268" s="28">
        <v>9</v>
      </c>
      <c r="X268" s="28">
        <v>10</v>
      </c>
      <c r="Y268" s="28">
        <v>21</v>
      </c>
      <c r="Z268" s="28">
        <v>22</v>
      </c>
      <c r="AA268" s="28">
        <v>25</v>
      </c>
      <c r="AB268" s="28">
        <v>26</v>
      </c>
      <c r="AC268" s="28">
        <v>27</v>
      </c>
      <c r="AD268" s="28">
        <v>27</v>
      </c>
      <c r="AE268" s="28">
        <v>27</v>
      </c>
      <c r="AF268" s="28">
        <v>28</v>
      </c>
      <c r="AG268" s="28">
        <v>29</v>
      </c>
      <c r="AH268" s="19" t="s">
        <v>10</v>
      </c>
      <c r="AI268" s="19" t="s">
        <v>12</v>
      </c>
    </row>
    <row r="269" spans="1:35">
      <c r="E269" s="49" t="s">
        <v>6</v>
      </c>
      <c r="F269" s="49" t="s">
        <v>3</v>
      </c>
      <c r="G269" s="49" t="s">
        <v>4</v>
      </c>
      <c r="H269" s="49" t="s">
        <v>5</v>
      </c>
      <c r="I269" s="49" t="s">
        <v>22</v>
      </c>
      <c r="J269" s="49" t="s">
        <v>6</v>
      </c>
      <c r="K269" s="49" t="s">
        <v>22</v>
      </c>
      <c r="L269" s="49" t="s">
        <v>6</v>
      </c>
      <c r="M269" s="49" t="s">
        <v>3</v>
      </c>
      <c r="N269" s="49" t="s">
        <v>4</v>
      </c>
      <c r="O269" s="49" t="s">
        <v>5</v>
      </c>
      <c r="P269" s="49" t="s">
        <v>22</v>
      </c>
      <c r="Q269" s="49" t="s">
        <v>6</v>
      </c>
      <c r="R269" s="49" t="s">
        <v>22</v>
      </c>
      <c r="S269" s="49" t="s">
        <v>6</v>
      </c>
      <c r="T269" s="49" t="s">
        <v>3</v>
      </c>
      <c r="U269" s="49" t="s">
        <v>4</v>
      </c>
      <c r="V269" s="49" t="s">
        <v>5</v>
      </c>
      <c r="W269" s="49" t="s">
        <v>61</v>
      </c>
      <c r="X269" s="49" t="s">
        <v>6</v>
      </c>
      <c r="Y269" s="49" t="s">
        <v>22</v>
      </c>
      <c r="Z269" s="49" t="s">
        <v>6</v>
      </c>
      <c r="AA269" s="49" t="s">
        <v>3</v>
      </c>
      <c r="AB269" s="49" t="s">
        <v>4</v>
      </c>
      <c r="AC269" s="49" t="s">
        <v>5</v>
      </c>
      <c r="AD269" s="49" t="s">
        <v>61</v>
      </c>
      <c r="AE269" s="49" t="s">
        <v>6</v>
      </c>
      <c r="AF269" s="49" t="s">
        <v>22</v>
      </c>
      <c r="AG269" s="49" t="s">
        <v>6</v>
      </c>
      <c r="AH269" s="19" t="s">
        <v>11</v>
      </c>
      <c r="AI269" s="19" t="s">
        <v>9</v>
      </c>
    </row>
    <row r="270" spans="1:35" ht="15.75" thickBot="1">
      <c r="A270" s="18" t="s">
        <v>39</v>
      </c>
      <c r="B270" s="18">
        <v>2012</v>
      </c>
    </row>
    <row r="271" spans="1:35">
      <c r="A271" s="12" t="s">
        <v>47</v>
      </c>
      <c r="E271" s="12">
        <v>1267844.67</v>
      </c>
      <c r="F271" s="12">
        <v>1313759.98</v>
      </c>
      <c r="G271" s="12">
        <v>1375642.56</v>
      </c>
      <c r="H271" s="12">
        <v>1407617.79</v>
      </c>
      <c r="K271" s="12">
        <v>751589.12</v>
      </c>
      <c r="L271" s="12">
        <v>849469.97</v>
      </c>
      <c r="M271" s="12">
        <v>875788.88</v>
      </c>
      <c r="N271" s="12">
        <v>904314.21</v>
      </c>
      <c r="O271" s="77">
        <v>726013.87</v>
      </c>
      <c r="R271" s="12">
        <v>783189.56</v>
      </c>
      <c r="S271" s="12">
        <v>885627.57</v>
      </c>
      <c r="T271" s="12">
        <v>920284.89</v>
      </c>
      <c r="U271" s="85">
        <v>949607.39</v>
      </c>
      <c r="V271" s="85">
        <v>1006580.01</v>
      </c>
      <c r="Y271" s="12">
        <v>574817.82999999996</v>
      </c>
      <c r="Z271" s="86">
        <v>659878.81000000006</v>
      </c>
      <c r="AA271" s="87">
        <v>690427.45</v>
      </c>
      <c r="AB271" s="87">
        <v>748499.52</v>
      </c>
      <c r="AC271" s="12">
        <v>796098.69</v>
      </c>
      <c r="AF271" s="87">
        <v>841805.4</v>
      </c>
      <c r="AG271" s="85">
        <v>1007649.34</v>
      </c>
      <c r="AH271" s="12">
        <f>SUM(E271:AG271)</f>
        <v>19336507.509999998</v>
      </c>
      <c r="AI271" s="12">
        <f>AVERAGE(E271:AG271)</f>
        <v>920786.07190476183</v>
      </c>
    </row>
    <row r="272" spans="1:35">
      <c r="A272" s="12" t="s">
        <v>18</v>
      </c>
      <c r="E272" s="57">
        <f>'[4]6.1.2012'!$J$104</f>
        <v>120604.54999999978</v>
      </c>
      <c r="F272" s="57">
        <f>'[7]6.4.2012'!$J$104</f>
        <v>90975.649999999718</v>
      </c>
      <c r="G272" s="12">
        <v>80183.48</v>
      </c>
      <c r="H272" s="12">
        <v>73026.679999999993</v>
      </c>
      <c r="K272" s="56">
        <v>46276.55</v>
      </c>
      <c r="L272" s="65"/>
      <c r="M272" s="12">
        <v>-25379.99</v>
      </c>
      <c r="N272" s="12">
        <v>-45696.43</v>
      </c>
      <c r="O272" s="78">
        <v>-79083.39</v>
      </c>
      <c r="R272" s="12">
        <v>345455.59000000026</v>
      </c>
      <c r="S272" s="12">
        <v>335833.45</v>
      </c>
      <c r="T272" s="12">
        <v>311114.86000000039</v>
      </c>
      <c r="U272" s="12">
        <v>300644.36000000016</v>
      </c>
      <c r="V272" s="12">
        <v>248290.2099999999</v>
      </c>
      <c r="Y272" s="12">
        <v>301847.52</v>
      </c>
      <c r="Z272" s="12">
        <v>306234.25000000017</v>
      </c>
      <c r="AA272" s="12">
        <v>46232.050000000258</v>
      </c>
      <c r="AB272" s="12">
        <v>56614.010000000104</v>
      </c>
      <c r="AC272" s="58">
        <v>1390.4700000005296</v>
      </c>
      <c r="AF272" s="12">
        <v>10344.510000000479</v>
      </c>
      <c r="AG272" s="12">
        <v>131098.98000000013</v>
      </c>
      <c r="AH272" s="57">
        <f>SUM(E272:AG272)</f>
        <v>2656007.3600000017</v>
      </c>
      <c r="AI272" s="57">
        <f>AVERAGE(E272:AG272)</f>
        <v>132800.36800000007</v>
      </c>
    </row>
    <row r="273" spans="1:35" ht="15.75" thickBot="1">
      <c r="E273" s="17">
        <f>SUM(E271:E272)</f>
        <v>1388449.2199999997</v>
      </c>
      <c r="F273" s="17">
        <f>SUM(F271:F272)</f>
        <v>1404735.6299999997</v>
      </c>
      <c r="G273" s="17">
        <f t="shared" ref="G273:AG273" si="31">SUM(G271:G272)</f>
        <v>1455826.04</v>
      </c>
      <c r="H273" s="17">
        <f t="shared" si="31"/>
        <v>1480644.47</v>
      </c>
      <c r="I273" s="17">
        <f t="shared" si="31"/>
        <v>0</v>
      </c>
      <c r="J273" s="17">
        <f t="shared" si="31"/>
        <v>0</v>
      </c>
      <c r="K273" s="17">
        <f t="shared" si="31"/>
        <v>797865.67</v>
      </c>
      <c r="L273" s="17">
        <f t="shared" si="31"/>
        <v>849469.97</v>
      </c>
      <c r="M273" s="17">
        <f t="shared" si="31"/>
        <v>850408.89</v>
      </c>
      <c r="N273" s="17">
        <f t="shared" si="31"/>
        <v>858617.77999999991</v>
      </c>
      <c r="O273" s="17">
        <f t="shared" si="31"/>
        <v>646930.48</v>
      </c>
      <c r="P273" s="17">
        <f t="shared" si="31"/>
        <v>0</v>
      </c>
      <c r="Q273" s="17">
        <f t="shared" si="31"/>
        <v>0</v>
      </c>
      <c r="R273" s="17">
        <f t="shared" si="31"/>
        <v>1128645.1500000004</v>
      </c>
      <c r="S273" s="17">
        <f t="shared" si="31"/>
        <v>1221461.02</v>
      </c>
      <c r="T273" s="17">
        <f t="shared" si="31"/>
        <v>1231399.7500000005</v>
      </c>
      <c r="U273" s="17">
        <f t="shared" si="31"/>
        <v>1250251.7500000002</v>
      </c>
      <c r="V273" s="17">
        <f t="shared" si="31"/>
        <v>1254870.22</v>
      </c>
      <c r="W273" s="17">
        <f t="shared" si="31"/>
        <v>0</v>
      </c>
      <c r="X273" s="17">
        <f t="shared" si="31"/>
        <v>0</v>
      </c>
      <c r="Y273" s="17">
        <f t="shared" si="31"/>
        <v>876665.35</v>
      </c>
      <c r="Z273" s="17">
        <f t="shared" si="31"/>
        <v>966113.06000000029</v>
      </c>
      <c r="AA273" s="17">
        <f t="shared" si="31"/>
        <v>736659.50000000023</v>
      </c>
      <c r="AB273" s="17">
        <f t="shared" si="31"/>
        <v>805113.53000000014</v>
      </c>
      <c r="AC273" s="17">
        <f t="shared" si="31"/>
        <v>797489.1600000005</v>
      </c>
      <c r="AD273" s="17">
        <f t="shared" si="31"/>
        <v>0</v>
      </c>
      <c r="AE273" s="17">
        <f t="shared" si="31"/>
        <v>0</v>
      </c>
      <c r="AF273" s="17">
        <f t="shared" si="31"/>
        <v>852149.9100000005</v>
      </c>
      <c r="AG273" s="17">
        <f t="shared" si="31"/>
        <v>1138748.32</v>
      </c>
      <c r="AH273" s="17">
        <f>SUM(AH271:AH272)</f>
        <v>21992514.870000001</v>
      </c>
      <c r="AI273" s="17">
        <f>SUM(AI271:AI272)</f>
        <v>1053586.439904762</v>
      </c>
    </row>
    <row r="274" spans="1:35" ht="15.75" thickTop="1">
      <c r="G274" s="12">
        <v>700000</v>
      </c>
      <c r="O274" s="78">
        <v>250000</v>
      </c>
      <c r="Y274" s="12">
        <v>525000</v>
      </c>
      <c r="Z274" s="12">
        <v>525000</v>
      </c>
    </row>
    <row r="275" spans="1:35">
      <c r="O275" s="78"/>
      <c r="Y275" s="12">
        <f>+Y273+Y274</f>
        <v>1401665.35</v>
      </c>
      <c r="Z275" s="12">
        <f>+Z274+Z273</f>
        <v>1491113.0600000003</v>
      </c>
    </row>
    <row r="276" spans="1:35">
      <c r="A276" s="18" t="s">
        <v>48</v>
      </c>
      <c r="E276" s="12">
        <f>E271-AI254</f>
        <v>146336.18999999994</v>
      </c>
      <c r="F276" s="12">
        <f t="shared" ref="F276:H277" si="32">F271-E271</f>
        <v>45915.310000000056</v>
      </c>
      <c r="G276" s="12">
        <f t="shared" si="32"/>
        <v>61882.580000000075</v>
      </c>
      <c r="H276" s="12">
        <f t="shared" si="32"/>
        <v>31975.229999999981</v>
      </c>
      <c r="K276" s="12">
        <f>K271-H271</f>
        <v>-656028.67000000004</v>
      </c>
      <c r="L276" s="12">
        <f>L271-K271</f>
        <v>97880.849999999977</v>
      </c>
      <c r="M276" s="12">
        <f>M271-L271</f>
        <v>26318.910000000033</v>
      </c>
      <c r="N276" s="12">
        <f>N271-M271</f>
        <v>28525.329999999958</v>
      </c>
      <c r="O276" s="78">
        <f>+O274+O271-N271</f>
        <v>71699.660000000033</v>
      </c>
      <c r="R276" s="12">
        <f>+R271-O271</f>
        <v>57175.690000000061</v>
      </c>
      <c r="S276" s="12">
        <f t="shared" ref="S276:U277" si="33">+S271-R271</f>
        <v>102438.00999999989</v>
      </c>
      <c r="T276" s="12">
        <f t="shared" si="33"/>
        <v>34657.320000000065</v>
      </c>
      <c r="U276" s="12">
        <f t="shared" si="33"/>
        <v>29322.5</v>
      </c>
      <c r="V276" s="12">
        <f>+V271-U271</f>
        <v>56972.619999999995</v>
      </c>
      <c r="Y276" s="12">
        <f>+Y271+525000-V271</f>
        <v>93237.820000000065</v>
      </c>
      <c r="Z276" s="12">
        <f>+Z271-Y271</f>
        <v>85060.980000000098</v>
      </c>
      <c r="AA276" s="12">
        <f>+AA271-Z271</f>
        <v>30548.639999999898</v>
      </c>
      <c r="AB276" s="12">
        <f>+AB271-AA271</f>
        <v>58072.070000000065</v>
      </c>
      <c r="AC276" s="12">
        <f>+AC271-AB271</f>
        <v>47599.169999999925</v>
      </c>
      <c r="AF276" s="12">
        <f>+AF271-AC271</f>
        <v>45706.710000000079</v>
      </c>
      <c r="AG276" s="12">
        <f>+AG271-AF271</f>
        <v>165843.93999999994</v>
      </c>
    </row>
    <row r="277" spans="1:35">
      <c r="A277" s="18" t="s">
        <v>49</v>
      </c>
      <c r="E277" s="57">
        <f>E272-AI255</f>
        <v>38653.089999999691</v>
      </c>
      <c r="F277" s="57">
        <f t="shared" si="32"/>
        <v>-29628.900000000067</v>
      </c>
      <c r="G277" s="12">
        <f t="shared" si="32"/>
        <v>-10792.169999999722</v>
      </c>
      <c r="H277" s="12">
        <f t="shared" si="32"/>
        <v>-7156.8000000000029</v>
      </c>
      <c r="K277" s="12">
        <f>K272-H272</f>
        <v>-26750.12999999999</v>
      </c>
      <c r="N277" s="12">
        <f>N272-M272</f>
        <v>-20316.439999999999</v>
      </c>
      <c r="O277" s="12">
        <f>+O272-N272</f>
        <v>-33386.959999999999</v>
      </c>
      <c r="R277" s="12">
        <f>+R272-O272</f>
        <v>424538.98000000027</v>
      </c>
      <c r="S277" s="12">
        <f t="shared" si="33"/>
        <v>-9622.1400000002468</v>
      </c>
      <c r="T277" s="12">
        <f t="shared" si="33"/>
        <v>-24718.589999999618</v>
      </c>
      <c r="U277" s="12">
        <f t="shared" si="33"/>
        <v>-10470.500000000233</v>
      </c>
      <c r="V277" s="12">
        <f>+V272-U272</f>
        <v>-52354.150000000256</v>
      </c>
      <c r="Y277" s="12">
        <f>+Y272-V272</f>
        <v>53557.310000000114</v>
      </c>
      <c r="Z277" s="12">
        <f>+Z272-Y272</f>
        <v>4386.730000000156</v>
      </c>
      <c r="AA277" s="12">
        <f>+AA272-525000-Z272</f>
        <v>-785002.2</v>
      </c>
      <c r="AB277" s="12">
        <f>+AB272-AA272</f>
        <v>10381.959999999846</v>
      </c>
      <c r="AC277" s="12">
        <f>+AC272-AB272</f>
        <v>-55223.539999999572</v>
      </c>
      <c r="AF277" s="12">
        <f>+AF272-AC272</f>
        <v>8954.0399999999499</v>
      </c>
      <c r="AG277" s="58">
        <f>+AG272-AF272</f>
        <v>120754.46999999965</v>
      </c>
    </row>
    <row r="278" spans="1:35">
      <c r="R278" s="12" t="s">
        <v>93</v>
      </c>
    </row>
    <row r="279" spans="1:35">
      <c r="AA279" s="88">
        <v>41085</v>
      </c>
      <c r="AC279" s="88" t="s">
        <v>107</v>
      </c>
    </row>
    <row r="280" spans="1:35">
      <c r="E280" s="69" t="s">
        <v>84</v>
      </c>
      <c r="M280" s="63"/>
      <c r="O280" s="79">
        <v>254550</v>
      </c>
      <c r="Z280" s="88"/>
      <c r="AA280" s="12" t="s">
        <v>75</v>
      </c>
      <c r="AB280" s="12">
        <v>648537</v>
      </c>
      <c r="AC280" s="12" t="s">
        <v>102</v>
      </c>
      <c r="AF280" s="12">
        <v>6900</v>
      </c>
    </row>
    <row r="281" spans="1:35">
      <c r="E281" s="69" t="s">
        <v>85</v>
      </c>
      <c r="O281" s="80" t="s">
        <v>88</v>
      </c>
      <c r="AA281" s="12" t="s">
        <v>94</v>
      </c>
      <c r="AB281" s="12">
        <v>77000</v>
      </c>
      <c r="AC281" s="12" t="s">
        <v>103</v>
      </c>
      <c r="AF281" s="12">
        <v>6800</v>
      </c>
    </row>
    <row r="282" spans="1:35">
      <c r="E282" s="69" t="s">
        <v>86</v>
      </c>
      <c r="O282" s="78"/>
      <c r="AB282" s="12">
        <f>SUM(AB280:AB281)</f>
        <v>725537</v>
      </c>
      <c r="AC282" s="12" t="s">
        <v>104</v>
      </c>
      <c r="AF282" s="12">
        <v>17612</v>
      </c>
    </row>
    <row r="283" spans="1:35">
      <c r="E283" s="69" t="s">
        <v>87</v>
      </c>
      <c r="N283" s="69"/>
      <c r="O283" s="81">
        <v>157000</v>
      </c>
      <c r="AC283" s="12" t="s">
        <v>105</v>
      </c>
    </row>
    <row r="284" spans="1:35">
      <c r="N284" s="69"/>
      <c r="O284" s="82" t="s">
        <v>89</v>
      </c>
    </row>
    <row r="285" spans="1:35">
      <c r="N285" s="69"/>
      <c r="O285" s="78"/>
      <c r="AC285" s="12" t="s">
        <v>106</v>
      </c>
    </row>
    <row r="286" spans="1:35">
      <c r="N286" s="69" t="s">
        <v>91</v>
      </c>
      <c r="O286" s="83">
        <f>O280+O283</f>
        <v>411550</v>
      </c>
      <c r="AC286" s="12">
        <v>22335.64</v>
      </c>
      <c r="AF286" s="12" t="s">
        <v>95</v>
      </c>
      <c r="AG286" s="12" t="s">
        <v>108</v>
      </c>
    </row>
    <row r="287" spans="1:35">
      <c r="N287" s="69"/>
      <c r="O287" s="78"/>
      <c r="AC287" s="12">
        <v>27695</v>
      </c>
      <c r="AF287" s="12" t="s">
        <v>96</v>
      </c>
      <c r="AG287" s="12" t="s">
        <v>109</v>
      </c>
    </row>
    <row r="288" spans="1:35">
      <c r="N288" s="69" t="s">
        <v>90</v>
      </c>
      <c r="O288" s="81">
        <v>250000</v>
      </c>
      <c r="AC288" s="12">
        <v>23572</v>
      </c>
      <c r="AF288" s="12" t="s">
        <v>97</v>
      </c>
      <c r="AG288" s="12" t="s">
        <v>108</v>
      </c>
    </row>
    <row r="289" spans="1:36">
      <c r="N289" s="69" t="s">
        <v>92</v>
      </c>
      <c r="O289" s="81">
        <f>O286-O288</f>
        <v>161550</v>
      </c>
      <c r="AC289" s="12">
        <f>31376.74+31656.36</f>
        <v>63033.100000000006</v>
      </c>
      <c r="AF289" s="12" t="s">
        <v>98</v>
      </c>
      <c r="AG289" s="12" t="s">
        <v>109</v>
      </c>
    </row>
    <row r="290" spans="1:36">
      <c r="O290" s="78"/>
      <c r="AC290" s="12">
        <v>6100</v>
      </c>
      <c r="AF290" s="12" t="s">
        <v>101</v>
      </c>
      <c r="AG290" s="12" t="s">
        <v>109</v>
      </c>
    </row>
    <row r="291" spans="1:36" ht="15.75" thickBot="1">
      <c r="O291" s="84"/>
      <c r="AC291" s="12">
        <f>SUM(AC286:AC290)</f>
        <v>142735.74</v>
      </c>
    </row>
    <row r="293" spans="1:36">
      <c r="AC293" s="12" t="s">
        <v>99</v>
      </c>
    </row>
    <row r="294" spans="1:36">
      <c r="AC294" s="12">
        <v>67640</v>
      </c>
      <c r="AF294" s="12" t="s">
        <v>100</v>
      </c>
    </row>
    <row r="296" spans="1:36">
      <c r="E296" s="28">
        <v>2</v>
      </c>
      <c r="F296" s="28">
        <v>3</v>
      </c>
      <c r="G296" s="28">
        <v>4</v>
      </c>
      <c r="H296" s="28">
        <v>5</v>
      </c>
      <c r="I296" s="28">
        <v>10</v>
      </c>
      <c r="J296" s="28">
        <v>7</v>
      </c>
      <c r="K296" s="28">
        <v>6</v>
      </c>
      <c r="L296" s="28">
        <v>9</v>
      </c>
      <c r="M296" s="28">
        <v>10</v>
      </c>
      <c r="N296" s="28">
        <v>11</v>
      </c>
      <c r="O296" s="28">
        <v>12</v>
      </c>
      <c r="P296" s="28">
        <v>10</v>
      </c>
      <c r="Q296" s="28">
        <v>7</v>
      </c>
      <c r="R296" s="28">
        <v>13</v>
      </c>
      <c r="S296" s="28">
        <v>16</v>
      </c>
      <c r="T296" s="28">
        <v>17</v>
      </c>
      <c r="U296" s="28">
        <v>18</v>
      </c>
      <c r="V296" s="28">
        <v>19</v>
      </c>
      <c r="W296" s="28">
        <v>10</v>
      </c>
      <c r="X296" s="28">
        <v>7</v>
      </c>
      <c r="Y296" s="28">
        <v>20</v>
      </c>
      <c r="Z296" s="28">
        <v>23</v>
      </c>
      <c r="AA296" s="28">
        <v>24</v>
      </c>
      <c r="AB296" s="28">
        <v>25</v>
      </c>
      <c r="AC296" s="28">
        <v>26</v>
      </c>
      <c r="AD296" s="28">
        <v>10</v>
      </c>
      <c r="AE296" s="28">
        <v>7</v>
      </c>
      <c r="AF296" s="28">
        <v>27</v>
      </c>
      <c r="AG296" s="28">
        <v>30</v>
      </c>
      <c r="AH296" s="28">
        <v>31</v>
      </c>
      <c r="AI296" s="19" t="s">
        <v>10</v>
      </c>
      <c r="AJ296" s="19" t="s">
        <v>12</v>
      </c>
    </row>
    <row r="297" spans="1:36">
      <c r="A297" s="18" t="s">
        <v>40</v>
      </c>
      <c r="B297" s="18">
        <v>2012</v>
      </c>
      <c r="E297" s="49" t="s">
        <v>3</v>
      </c>
      <c r="F297" s="49" t="s">
        <v>4</v>
      </c>
      <c r="G297" s="49" t="s">
        <v>5</v>
      </c>
      <c r="H297" s="49" t="s">
        <v>22</v>
      </c>
      <c r="I297" s="49" t="s">
        <v>6</v>
      </c>
      <c r="J297" s="49" t="s">
        <v>22</v>
      </c>
      <c r="K297" s="49" t="s">
        <v>6</v>
      </c>
      <c r="L297" s="49" t="s">
        <v>3</v>
      </c>
      <c r="M297" s="49" t="s">
        <v>4</v>
      </c>
      <c r="N297" s="49" t="s">
        <v>5</v>
      </c>
      <c r="O297" s="49" t="s">
        <v>22</v>
      </c>
      <c r="P297" s="49" t="s">
        <v>6</v>
      </c>
      <c r="Q297" s="49" t="s">
        <v>22</v>
      </c>
      <c r="R297" s="49" t="s">
        <v>6</v>
      </c>
      <c r="S297" s="49" t="s">
        <v>3</v>
      </c>
      <c r="T297" s="49" t="s">
        <v>4</v>
      </c>
      <c r="U297" s="49" t="s">
        <v>5</v>
      </c>
      <c r="V297" s="49" t="s">
        <v>22</v>
      </c>
      <c r="W297" s="49" t="s">
        <v>6</v>
      </c>
      <c r="X297" s="49" t="s">
        <v>22</v>
      </c>
      <c r="Y297" s="49" t="s">
        <v>6</v>
      </c>
      <c r="Z297" s="49" t="s">
        <v>3</v>
      </c>
      <c r="AA297" s="49" t="s">
        <v>4</v>
      </c>
      <c r="AB297" s="49" t="s">
        <v>5</v>
      </c>
      <c r="AC297" s="49" t="s">
        <v>22</v>
      </c>
      <c r="AD297" s="49" t="s">
        <v>6</v>
      </c>
      <c r="AE297" s="49" t="s">
        <v>22</v>
      </c>
      <c r="AF297" s="49" t="s">
        <v>6</v>
      </c>
      <c r="AG297" s="49" t="s">
        <v>3</v>
      </c>
      <c r="AH297" s="49" t="s">
        <v>4</v>
      </c>
      <c r="AI297" s="19" t="s">
        <v>11</v>
      </c>
      <c r="AJ297" s="19" t="s">
        <v>9</v>
      </c>
    </row>
    <row r="298" spans="1:36">
      <c r="A298" s="12" t="s">
        <v>47</v>
      </c>
      <c r="E298" s="12">
        <v>1078520.02</v>
      </c>
      <c r="F298" s="12">
        <v>1101042.6599999999</v>
      </c>
      <c r="G298" s="12" t="s">
        <v>110</v>
      </c>
      <c r="H298" s="85">
        <v>1153016.05</v>
      </c>
      <c r="K298" s="85">
        <v>1215307.24</v>
      </c>
      <c r="L298" s="85">
        <v>1264778.82</v>
      </c>
      <c r="M298" s="85">
        <v>1297090.49</v>
      </c>
      <c r="N298" s="12">
        <v>743534.5</v>
      </c>
      <c r="O298" s="86">
        <v>790030.71</v>
      </c>
      <c r="R298" s="90">
        <v>914593.46</v>
      </c>
      <c r="S298" s="90">
        <v>792305.29</v>
      </c>
      <c r="T298" s="90">
        <v>840972.06</v>
      </c>
      <c r="U298" s="87">
        <v>872996.39</v>
      </c>
      <c r="V298" s="85">
        <v>915016.72</v>
      </c>
      <c r="Y298" s="85">
        <v>1007996.93</v>
      </c>
      <c r="Z298" s="85">
        <v>1087687.77</v>
      </c>
      <c r="AA298" s="85">
        <v>377380.6</v>
      </c>
      <c r="AB298" s="85">
        <v>408655.14</v>
      </c>
      <c r="AC298" s="85">
        <v>451512.48</v>
      </c>
      <c r="AF298" s="86">
        <v>593935.35</v>
      </c>
      <c r="AG298" s="85">
        <v>639844.9</v>
      </c>
      <c r="AH298" s="85">
        <v>688139.17</v>
      </c>
      <c r="AI298" s="12">
        <f>SUM(E298:AH298)</f>
        <v>18234356.75</v>
      </c>
      <c r="AJ298" s="12">
        <f>AVERAGE(E298:AH298)</f>
        <v>868302.70238095243</v>
      </c>
    </row>
    <row r="299" spans="1:36">
      <c r="A299" s="12" t="s">
        <v>18</v>
      </c>
      <c r="E299" s="12">
        <v>128241.78000000026</v>
      </c>
      <c r="F299" s="12">
        <v>127352.51000000024</v>
      </c>
      <c r="G299" s="12" t="s">
        <v>110</v>
      </c>
      <c r="H299" s="89">
        <v>112594.92000000022</v>
      </c>
      <c r="K299" s="12">
        <v>108424.50000000026</v>
      </c>
      <c r="L299" s="12">
        <v>-504041.96999999986</v>
      </c>
      <c r="M299" s="12">
        <v>-505672.30999999976</v>
      </c>
      <c r="N299" s="12">
        <v>-506154.01999999984</v>
      </c>
      <c r="O299" s="12">
        <v>59263.199999999757</v>
      </c>
      <c r="R299" s="89">
        <v>15812.54999999973</v>
      </c>
      <c r="S299" s="58">
        <v>-100639.21999999988</v>
      </c>
      <c r="T299" s="12">
        <v>-104600.24999999997</v>
      </c>
      <c r="U299" s="12">
        <v>24560.549999999788</v>
      </c>
      <c r="V299" s="12">
        <v>-7108.7500000002574</v>
      </c>
      <c r="Y299" s="12">
        <v>-18650.060000000227</v>
      </c>
      <c r="Z299" s="12">
        <v>-737740.70999999938</v>
      </c>
      <c r="AA299" s="12">
        <v>-801727.93999999959</v>
      </c>
      <c r="AB299" s="12">
        <v>-85052.249999999971</v>
      </c>
      <c r="AC299" s="12">
        <v>-108481.42000000025</v>
      </c>
      <c r="AF299" s="89">
        <v>-151523.78999999995</v>
      </c>
      <c r="AG299" s="12">
        <v>-169682.91999999995</v>
      </c>
      <c r="AH299" s="12">
        <v>124851.85999999981</v>
      </c>
      <c r="AI299" s="12">
        <f>SUM(E299:AH299)</f>
        <v>-3099973.7399999988</v>
      </c>
      <c r="AJ299" s="12">
        <f>AVERAGE(E299:AH299)</f>
        <v>-147617.79714285707</v>
      </c>
    </row>
    <row r="300" spans="1:36" ht="15.75" thickBot="1">
      <c r="E300" s="17">
        <f>+E299+E298</f>
        <v>1206761.8000000003</v>
      </c>
      <c r="F300" s="17">
        <f t="shared" ref="F300:AH300" si="34">+F299+F298</f>
        <v>1228395.1700000002</v>
      </c>
      <c r="G300" s="17"/>
      <c r="H300" s="17">
        <f t="shared" si="34"/>
        <v>1265610.9700000002</v>
      </c>
      <c r="I300" s="17">
        <f t="shared" si="34"/>
        <v>0</v>
      </c>
      <c r="J300" s="17">
        <f t="shared" si="34"/>
        <v>0</v>
      </c>
      <c r="K300" s="17">
        <f t="shared" si="34"/>
        <v>1323731.7400000002</v>
      </c>
      <c r="L300" s="17">
        <f t="shared" si="34"/>
        <v>760736.85000000021</v>
      </c>
      <c r="M300" s="17">
        <f t="shared" si="34"/>
        <v>791418.18000000017</v>
      </c>
      <c r="N300" s="17">
        <f t="shared" si="34"/>
        <v>237380.48000000016</v>
      </c>
      <c r="O300" s="17">
        <f t="shared" si="34"/>
        <v>849293.90999999968</v>
      </c>
      <c r="P300" s="17">
        <f t="shared" si="34"/>
        <v>0</v>
      </c>
      <c r="Q300" s="17">
        <f t="shared" si="34"/>
        <v>0</v>
      </c>
      <c r="R300" s="17">
        <f t="shared" si="34"/>
        <v>930406.00999999966</v>
      </c>
      <c r="S300" s="17">
        <f t="shared" si="34"/>
        <v>691666.07000000018</v>
      </c>
      <c r="T300" s="17">
        <f t="shared" si="34"/>
        <v>736371.81</v>
      </c>
      <c r="U300" s="17">
        <f t="shared" si="34"/>
        <v>897556.93999999983</v>
      </c>
      <c r="V300" s="17">
        <f t="shared" si="34"/>
        <v>907907.96999999974</v>
      </c>
      <c r="W300" s="17">
        <f t="shared" si="34"/>
        <v>0</v>
      </c>
      <c r="X300" s="17">
        <f t="shared" si="34"/>
        <v>0</v>
      </c>
      <c r="Y300" s="17">
        <f t="shared" si="34"/>
        <v>989346.86999999988</v>
      </c>
      <c r="Z300" s="17">
        <f t="shared" si="34"/>
        <v>349947.06000000064</v>
      </c>
      <c r="AA300" s="17">
        <f t="shared" si="34"/>
        <v>-424347.33999999962</v>
      </c>
      <c r="AB300" s="17">
        <f t="shared" si="34"/>
        <v>323602.89</v>
      </c>
      <c r="AC300" s="17">
        <f t="shared" si="34"/>
        <v>343031.05999999971</v>
      </c>
      <c r="AD300" s="17">
        <f t="shared" si="34"/>
        <v>0</v>
      </c>
      <c r="AE300" s="17">
        <f t="shared" si="34"/>
        <v>0</v>
      </c>
      <c r="AF300" s="17">
        <f t="shared" si="34"/>
        <v>442411.56000000006</v>
      </c>
      <c r="AG300" s="17">
        <f t="shared" si="34"/>
        <v>470161.9800000001</v>
      </c>
      <c r="AH300" s="17">
        <f t="shared" si="34"/>
        <v>812991.0299999998</v>
      </c>
      <c r="AI300" s="17">
        <f>SUM(AI298:AI299)</f>
        <v>15134383.010000002</v>
      </c>
      <c r="AJ300" s="17">
        <f>SUM(AJ298:AJ299)</f>
        <v>720684.90523809532</v>
      </c>
    </row>
    <row r="301" spans="1:36" ht="15.75" thickTop="1">
      <c r="A301" t="s">
        <v>21</v>
      </c>
      <c r="N301" s="12">
        <v>600000</v>
      </c>
      <c r="S301" s="12">
        <v>200000</v>
      </c>
      <c r="T301" s="12">
        <v>200000</v>
      </c>
      <c r="AA301" s="12">
        <v>750000</v>
      </c>
    </row>
    <row r="302" spans="1:36" ht="15.75" thickBot="1">
      <c r="N302" s="17">
        <f>+N300+N301</f>
        <v>837380.48000000021</v>
      </c>
      <c r="S302" s="17">
        <f>+S300+S301</f>
        <v>891666.07000000018</v>
      </c>
      <c r="T302" s="17">
        <f>+T300+T301</f>
        <v>936371.81</v>
      </c>
      <c r="AA302" s="12">
        <f>+AA300+AA301</f>
        <v>325652.66000000038</v>
      </c>
    </row>
    <row r="303" spans="1:36" ht="15.75" thickTop="1"/>
    <row r="304" spans="1:36">
      <c r="A304" s="18" t="s">
        <v>48</v>
      </c>
      <c r="E304" s="12">
        <f>+E298-AG271</f>
        <v>70870.680000000051</v>
      </c>
      <c r="F304" s="12">
        <f>+F298-E298</f>
        <v>22522.639999999898</v>
      </c>
      <c r="H304" s="12">
        <f>+H298-F298</f>
        <v>51973.39000000013</v>
      </c>
      <c r="K304" s="12">
        <f>+K298-H298</f>
        <v>62291.189999999944</v>
      </c>
      <c r="L304" s="12">
        <f>+L298-K298</f>
        <v>49471.580000000075</v>
      </c>
      <c r="M304" s="12">
        <f>+M298-L298</f>
        <v>32311.669999999925</v>
      </c>
      <c r="N304" s="12">
        <f>+N298-M298+600000</f>
        <v>46444.010000000009</v>
      </c>
      <c r="O304" s="12">
        <f>+O298-N298</f>
        <v>46496.209999999963</v>
      </c>
      <c r="R304" s="12">
        <f>+R298-O298</f>
        <v>124562.75</v>
      </c>
      <c r="S304" s="12">
        <f>+S298-R298+200000</f>
        <v>77711.830000000075</v>
      </c>
      <c r="T304" s="91">
        <f>+T298-S298</f>
        <v>48666.770000000019</v>
      </c>
      <c r="U304" s="12">
        <f>+U298-T298</f>
        <v>32024.329999999958</v>
      </c>
      <c r="V304" s="12">
        <f>+V298-U298</f>
        <v>42020.329999999958</v>
      </c>
      <c r="Y304" s="12">
        <f>+Y298-V298</f>
        <v>92980.210000000079</v>
      </c>
      <c r="Z304" s="12">
        <f>+Z298-Y298</f>
        <v>79690.839999999967</v>
      </c>
      <c r="AA304" s="12">
        <f>+AA298-Z298+750000</f>
        <v>39692.829999999958</v>
      </c>
      <c r="AB304" s="12">
        <f>+AB298-AA298</f>
        <v>31274.540000000037</v>
      </c>
      <c r="AC304" s="12">
        <f>+AC298-AB298</f>
        <v>42857.339999999967</v>
      </c>
      <c r="AF304" s="12">
        <f>+AF298-AC298</f>
        <v>142422.87</v>
      </c>
      <c r="AG304" s="12">
        <f>+AG298-AF298</f>
        <v>45909.550000000047</v>
      </c>
      <c r="AH304" s="12">
        <f>+AH298-AG298</f>
        <v>48294.270000000019</v>
      </c>
    </row>
    <row r="305" spans="1:37">
      <c r="A305" s="18" t="s">
        <v>49</v>
      </c>
      <c r="E305" s="12">
        <f>+E299-AG272</f>
        <v>-2857.1999999998661</v>
      </c>
      <c r="F305" s="12">
        <f>+F299-E299</f>
        <v>-889.27000000001863</v>
      </c>
      <c r="H305" s="12">
        <f>+H299-F299</f>
        <v>-14757.590000000026</v>
      </c>
      <c r="K305" s="12">
        <f>+K299-H299</f>
        <v>-4170.4199999999546</v>
      </c>
      <c r="L305" s="12">
        <f>+L299-K299</f>
        <v>-612466.47000000009</v>
      </c>
      <c r="M305" s="12">
        <f>+M299-L299</f>
        <v>-1630.3399999999092</v>
      </c>
      <c r="N305" s="12">
        <f>+N299-M299</f>
        <v>-481.71000000007916</v>
      </c>
      <c r="O305" s="12">
        <f>+O299-N299-600000</f>
        <v>-34582.780000000377</v>
      </c>
      <c r="R305" s="12">
        <f>+R299-O299</f>
        <v>-43450.650000000023</v>
      </c>
      <c r="S305" s="12">
        <f>+S299-R299</f>
        <v>-116451.76999999961</v>
      </c>
      <c r="T305" s="12">
        <f>+T299-S299</f>
        <v>-3961.0300000000861</v>
      </c>
      <c r="U305" s="12">
        <f>+U299-T299-200000</f>
        <v>-70839.200000000244</v>
      </c>
      <c r="V305" s="12">
        <f>+V299-U299</f>
        <v>-31669.300000000047</v>
      </c>
      <c r="Y305" s="12">
        <f>+Y299-V299</f>
        <v>-11541.309999999969</v>
      </c>
      <c r="Z305" s="12">
        <f>+Z299-Y299</f>
        <v>-719090.64999999921</v>
      </c>
      <c r="AA305" s="12">
        <f>+AA299-Z299</f>
        <v>-63987.230000000214</v>
      </c>
      <c r="AB305" s="12">
        <f>+AB299-AA299-750000</f>
        <v>-33324.310000000405</v>
      </c>
      <c r="AC305" s="12">
        <f>+AC299-AB299</f>
        <v>-23429.170000000275</v>
      </c>
      <c r="AF305" s="58">
        <f>+AF299-AC299</f>
        <v>-43042.369999999704</v>
      </c>
      <c r="AG305" s="12">
        <f>+AG299-AF299</f>
        <v>-18159.130000000005</v>
      </c>
      <c r="AH305" s="12">
        <f>+AH299-AG299</f>
        <v>294534.7799999998</v>
      </c>
    </row>
    <row r="307" spans="1:37">
      <c r="L307" s="12" t="s">
        <v>75</v>
      </c>
      <c r="Z307" s="12" t="s">
        <v>116</v>
      </c>
      <c r="AA307" s="12">
        <v>600000</v>
      </c>
    </row>
    <row r="308" spans="1:37">
      <c r="S308" s="12" t="s">
        <v>111</v>
      </c>
      <c r="Z308" s="12" t="s">
        <v>113</v>
      </c>
      <c r="AA308" s="12">
        <v>25000</v>
      </c>
      <c r="AF308" s="12" t="s">
        <v>117</v>
      </c>
      <c r="AG308" s="12" t="s">
        <v>29</v>
      </c>
    </row>
    <row r="309" spans="1:37">
      <c r="S309" s="12" t="s">
        <v>112</v>
      </c>
      <c r="Z309" s="12" t="s">
        <v>114</v>
      </c>
      <c r="AA309" s="12">
        <v>40000</v>
      </c>
      <c r="AF309" s="12" t="s">
        <v>118</v>
      </c>
      <c r="AG309" s="12">
        <v>282022</v>
      </c>
    </row>
    <row r="310" spans="1:37">
      <c r="Z310" s="12" t="s">
        <v>115</v>
      </c>
      <c r="AA310" s="12">
        <v>22000</v>
      </c>
      <c r="AF310" s="12" t="s">
        <v>97</v>
      </c>
      <c r="AG310" s="12">
        <v>26433.77</v>
      </c>
    </row>
    <row r="311" spans="1:37">
      <c r="AA311" s="12">
        <f>SUM(AA307:AA310)</f>
        <v>687000</v>
      </c>
      <c r="AF311" s="12" t="s">
        <v>119</v>
      </c>
      <c r="AG311" s="12">
        <v>6750</v>
      </c>
    </row>
    <row r="312" spans="1:37">
      <c r="AG312" s="12">
        <f>SUM(AG309:AG311)</f>
        <v>315205.77</v>
      </c>
    </row>
    <row r="314" spans="1:37">
      <c r="E314" s="28">
        <v>1</v>
      </c>
      <c r="F314" s="28">
        <v>2</v>
      </c>
      <c r="G314" s="28">
        <v>3</v>
      </c>
      <c r="H314" s="28">
        <v>6</v>
      </c>
      <c r="I314" s="28">
        <v>5</v>
      </c>
      <c r="J314" s="28">
        <v>10</v>
      </c>
      <c r="K314" s="28">
        <v>7</v>
      </c>
      <c r="L314" s="28">
        <v>8</v>
      </c>
      <c r="M314" s="28">
        <v>9</v>
      </c>
      <c r="N314" s="28">
        <v>10</v>
      </c>
      <c r="O314" s="28">
        <v>13</v>
      </c>
      <c r="R314" s="28">
        <v>14</v>
      </c>
      <c r="S314" s="28">
        <v>15</v>
      </c>
      <c r="T314" s="28">
        <v>16</v>
      </c>
      <c r="U314" s="28">
        <v>17</v>
      </c>
      <c r="V314" s="28">
        <v>20</v>
      </c>
      <c r="W314" s="28">
        <v>23</v>
      </c>
      <c r="X314" s="28">
        <v>24</v>
      </c>
      <c r="Y314" s="28">
        <v>21</v>
      </c>
      <c r="Z314" s="28">
        <v>22</v>
      </c>
      <c r="AA314" s="28">
        <v>23</v>
      </c>
      <c r="AB314" s="28">
        <v>24</v>
      </c>
      <c r="AC314" s="28">
        <v>27</v>
      </c>
      <c r="AF314" s="28">
        <v>28</v>
      </c>
      <c r="AG314" s="28">
        <v>29</v>
      </c>
      <c r="AH314" s="28">
        <v>30</v>
      </c>
      <c r="AI314" s="28">
        <v>31</v>
      </c>
      <c r="AJ314" s="19" t="s">
        <v>10</v>
      </c>
      <c r="AK314" s="19" t="s">
        <v>12</v>
      </c>
    </row>
    <row r="315" spans="1:37">
      <c r="A315" s="18" t="s">
        <v>41</v>
      </c>
      <c r="B315" s="18">
        <v>2012</v>
      </c>
      <c r="E315" s="49" t="s">
        <v>5</v>
      </c>
      <c r="F315" s="49" t="s">
        <v>22</v>
      </c>
      <c r="G315" s="49" t="s">
        <v>6</v>
      </c>
      <c r="H315" s="49" t="s">
        <v>3</v>
      </c>
      <c r="I315" s="49" t="s">
        <v>4</v>
      </c>
      <c r="J315" s="49" t="s">
        <v>5</v>
      </c>
      <c r="K315" s="49" t="s">
        <v>4</v>
      </c>
      <c r="L315" s="49" t="s">
        <v>5</v>
      </c>
      <c r="M315" s="49" t="s">
        <v>22</v>
      </c>
      <c r="N315" s="49" t="s">
        <v>6</v>
      </c>
      <c r="O315" s="49" t="s">
        <v>3</v>
      </c>
      <c r="P315" s="49" t="s">
        <v>4</v>
      </c>
      <c r="Q315" s="49" t="s">
        <v>5</v>
      </c>
      <c r="R315" s="49" t="s">
        <v>4</v>
      </c>
      <c r="S315" s="49" t="s">
        <v>5</v>
      </c>
      <c r="T315" s="49" t="s">
        <v>22</v>
      </c>
      <c r="U315" s="49" t="s">
        <v>6</v>
      </c>
      <c r="V315" s="49" t="s">
        <v>3</v>
      </c>
      <c r="W315" s="49" t="s">
        <v>4</v>
      </c>
      <c r="X315" s="49" t="s">
        <v>5</v>
      </c>
      <c r="Y315" s="49" t="s">
        <v>4</v>
      </c>
      <c r="Z315" s="49" t="s">
        <v>5</v>
      </c>
      <c r="AA315" s="49" t="s">
        <v>22</v>
      </c>
      <c r="AB315" s="49" t="s">
        <v>6</v>
      </c>
      <c r="AC315" s="49" t="s">
        <v>3</v>
      </c>
      <c r="AD315" s="49" t="s">
        <v>4</v>
      </c>
      <c r="AE315" s="49" t="s">
        <v>5</v>
      </c>
      <c r="AF315" s="49" t="s">
        <v>4</v>
      </c>
      <c r="AG315" s="49" t="s">
        <v>5</v>
      </c>
      <c r="AH315" s="49" t="s">
        <v>22</v>
      </c>
      <c r="AI315" s="49" t="s">
        <v>6</v>
      </c>
      <c r="AJ315" s="19" t="s">
        <v>11</v>
      </c>
      <c r="AK315" s="19" t="s">
        <v>9</v>
      </c>
    </row>
    <row r="316" spans="1:37">
      <c r="A316" s="12" t="s">
        <v>47</v>
      </c>
      <c r="E316" s="86">
        <v>736257.16</v>
      </c>
      <c r="F316" s="85">
        <v>787199.5</v>
      </c>
      <c r="G316" s="85">
        <v>902267.05</v>
      </c>
      <c r="H316" s="85">
        <v>966588.9</v>
      </c>
      <c r="K316" s="85">
        <v>1009842.65</v>
      </c>
      <c r="L316" s="85">
        <v>469194.83</v>
      </c>
      <c r="M316" s="85">
        <v>524905.09</v>
      </c>
      <c r="N316" s="85">
        <v>607645.72</v>
      </c>
      <c r="O316" s="12">
        <v>683732.39</v>
      </c>
      <c r="R316" s="93">
        <v>717922.46</v>
      </c>
      <c r="S316" s="93">
        <v>765248.43</v>
      </c>
      <c r="T316" s="93">
        <v>855604.99</v>
      </c>
      <c r="U316" s="93">
        <v>905195.87</v>
      </c>
      <c r="V316" s="12">
        <v>953743.6</v>
      </c>
      <c r="Y316" s="85">
        <v>986941.3</v>
      </c>
      <c r="Z316" s="12">
        <v>423268.69</v>
      </c>
      <c r="AA316" s="85">
        <v>499786.43</v>
      </c>
      <c r="AB316" s="85">
        <v>569511.9</v>
      </c>
      <c r="AC316" s="85">
        <v>469089.34</v>
      </c>
      <c r="AF316" s="12">
        <v>504977.09</v>
      </c>
      <c r="AG316" s="85">
        <v>549143.27</v>
      </c>
      <c r="AH316" s="85">
        <v>586790.68000000005</v>
      </c>
      <c r="AI316" s="85">
        <v>697605.16</v>
      </c>
      <c r="AJ316" s="91">
        <f>SUM(E316:AI316)</f>
        <v>16172462.499999996</v>
      </c>
      <c r="AK316" s="91">
        <f>AVERAGE(E316:AI316)</f>
        <v>703150.54347826075</v>
      </c>
    </row>
    <row r="317" spans="1:37">
      <c r="A317" s="12" t="s">
        <v>18</v>
      </c>
      <c r="E317" s="12">
        <v>111586.4099999998</v>
      </c>
      <c r="F317" s="12">
        <v>90526.160000000091</v>
      </c>
      <c r="G317" s="12">
        <v>54526.790000000015</v>
      </c>
      <c r="H317" s="12">
        <v>-559159.40999999933</v>
      </c>
      <c r="K317" s="12">
        <v>-513909.53999999951</v>
      </c>
      <c r="L317" s="12">
        <v>-532538.91999999958</v>
      </c>
      <c r="M317" s="12">
        <v>-537448.8399999995</v>
      </c>
      <c r="N317" s="92">
        <v>-605508.15999999933</v>
      </c>
      <c r="O317" s="92">
        <v>-77297.64</v>
      </c>
      <c r="R317" s="12">
        <v>-100002.28</v>
      </c>
      <c r="S317" s="12">
        <v>-103832.85</v>
      </c>
      <c r="T317" s="12">
        <v>-110902.56</v>
      </c>
      <c r="U317" s="12">
        <v>-136365.35999999999</v>
      </c>
      <c r="V317" s="12">
        <v>-459884.17999999953</v>
      </c>
      <c r="Y317" s="12">
        <v>-460368.34999999945</v>
      </c>
      <c r="Z317" s="12">
        <v>-469838.90999999939</v>
      </c>
      <c r="AA317" s="12">
        <v>-475788.0899999995</v>
      </c>
      <c r="AB317" s="58">
        <v>9430.7900000003319</v>
      </c>
      <c r="AC317" s="12">
        <v>-19028.899999999641</v>
      </c>
      <c r="AF317" s="12">
        <v>44546.689999999777</v>
      </c>
      <c r="AH317" s="12">
        <v>33970.720000000038</v>
      </c>
      <c r="AI317" s="12">
        <v>15628.83</v>
      </c>
      <c r="AJ317" s="12">
        <f>SUM(E317:AI317)</f>
        <v>-4801657.5999999959</v>
      </c>
      <c r="AK317" s="91">
        <f>AVERAGE(E317:AI317)</f>
        <v>-218257.16363636346</v>
      </c>
    </row>
    <row r="318" spans="1:37" ht="15.75" thickBot="1">
      <c r="A318" t="s">
        <v>122</v>
      </c>
      <c r="E318" s="17">
        <f>+E316+E317</f>
        <v>847843.56999999983</v>
      </c>
      <c r="F318" s="17">
        <f>+F316+F317</f>
        <v>877725.66000000015</v>
      </c>
      <c r="G318" s="17">
        <f t="shared" ref="G318:AI318" si="35">+G316+G317</f>
        <v>956793.84000000008</v>
      </c>
      <c r="H318" s="17">
        <f t="shared" si="35"/>
        <v>407429.49000000069</v>
      </c>
      <c r="I318" s="17">
        <f t="shared" si="35"/>
        <v>0</v>
      </c>
      <c r="J318" s="17">
        <f t="shared" si="35"/>
        <v>0</v>
      </c>
      <c r="K318" s="17">
        <f t="shared" si="35"/>
        <v>495933.11000000051</v>
      </c>
      <c r="L318" s="17">
        <f t="shared" si="35"/>
        <v>-63344.08999999956</v>
      </c>
      <c r="M318" s="17">
        <f t="shared" si="35"/>
        <v>-12543.749999999534</v>
      </c>
      <c r="N318" s="17">
        <f t="shared" si="35"/>
        <v>2137.560000000638</v>
      </c>
      <c r="O318" s="17">
        <f t="shared" si="35"/>
        <v>606434.75</v>
      </c>
      <c r="P318" s="17">
        <f t="shared" si="35"/>
        <v>0</v>
      </c>
      <c r="Q318" s="17">
        <f t="shared" si="35"/>
        <v>0</v>
      </c>
      <c r="R318" s="17">
        <f t="shared" si="35"/>
        <v>617920.17999999993</v>
      </c>
      <c r="S318" s="17">
        <f t="shared" si="35"/>
        <v>661415.58000000007</v>
      </c>
      <c r="T318" s="17">
        <f t="shared" si="35"/>
        <v>744702.42999999993</v>
      </c>
      <c r="U318" s="17">
        <f t="shared" si="35"/>
        <v>768830.51</v>
      </c>
      <c r="V318" s="17">
        <f t="shared" si="35"/>
        <v>493859.42000000045</v>
      </c>
      <c r="W318" s="17">
        <f t="shared" si="35"/>
        <v>0</v>
      </c>
      <c r="X318" s="17">
        <f t="shared" si="35"/>
        <v>0</v>
      </c>
      <c r="Y318" s="17">
        <f t="shared" si="35"/>
        <v>526572.95000000065</v>
      </c>
      <c r="Z318" s="17">
        <f t="shared" si="35"/>
        <v>-46570.21999999939</v>
      </c>
      <c r="AA318" s="17">
        <f t="shared" si="35"/>
        <v>23998.340000000491</v>
      </c>
      <c r="AB318" s="17">
        <f t="shared" si="35"/>
        <v>578942.69000000041</v>
      </c>
      <c r="AC318" s="17">
        <f t="shared" si="35"/>
        <v>450060.44000000041</v>
      </c>
      <c r="AD318" s="17">
        <f t="shared" si="35"/>
        <v>0</v>
      </c>
      <c r="AE318" s="17">
        <f t="shared" si="35"/>
        <v>0</v>
      </c>
      <c r="AF318" s="17">
        <f t="shared" si="35"/>
        <v>549523.7799999998</v>
      </c>
      <c r="AG318" s="17">
        <f t="shared" si="35"/>
        <v>549143.27</v>
      </c>
      <c r="AH318" s="17">
        <f t="shared" si="35"/>
        <v>620761.40000000014</v>
      </c>
      <c r="AI318" s="17">
        <f t="shared" si="35"/>
        <v>713233.99</v>
      </c>
      <c r="AJ318" s="17">
        <f>SUM(AJ316:AJ317)</f>
        <v>11370804.9</v>
      </c>
      <c r="AK318" s="17">
        <f>SUM(AK316:AK317)</f>
        <v>484893.37984189729</v>
      </c>
    </row>
    <row r="319" spans="1:37" ht="15.75" thickTop="1">
      <c r="A319" t="s">
        <v>21</v>
      </c>
      <c r="L319" s="12">
        <v>600000</v>
      </c>
      <c r="M319" s="12">
        <v>600000</v>
      </c>
      <c r="N319" s="12">
        <v>600000</v>
      </c>
      <c r="Y319" s="12" t="s">
        <v>127</v>
      </c>
      <c r="Z319" s="12">
        <v>600000</v>
      </c>
      <c r="AA319" s="12">
        <v>600000</v>
      </c>
      <c r="AC319" s="12">
        <v>150000</v>
      </c>
    </row>
    <row r="320" spans="1:37" ht="15.75" thickBot="1">
      <c r="A320" t="s">
        <v>123</v>
      </c>
      <c r="L320" s="17">
        <f>+L318+L319</f>
        <v>536655.91000000038</v>
      </c>
      <c r="M320" s="17">
        <f>+M318+M319</f>
        <v>587456.25000000047</v>
      </c>
      <c r="N320" s="17">
        <f>+N318+N319</f>
        <v>602137.56000000064</v>
      </c>
      <c r="Y320" s="12" t="s">
        <v>128</v>
      </c>
      <c r="Z320" s="17">
        <f>+Z319+Z318</f>
        <v>553429.78000000061</v>
      </c>
      <c r="AA320" s="17">
        <f>+AA319+AA318</f>
        <v>623998.34000000055</v>
      </c>
      <c r="AC320" s="17">
        <f>+AC319+AC318</f>
        <v>600060.44000000041</v>
      </c>
    </row>
    <row r="321" spans="1:35" ht="15.75" thickTop="1"/>
    <row r="322" spans="1:35">
      <c r="A322" s="18" t="s">
        <v>48</v>
      </c>
      <c r="E322" s="12">
        <f>+E316-AH298</f>
        <v>48117.989999999991</v>
      </c>
      <c r="F322" s="12">
        <f t="shared" ref="F322:H323" si="36">+F316-E316</f>
        <v>50942.339999999967</v>
      </c>
      <c r="G322" s="12">
        <f t="shared" si="36"/>
        <v>115067.55000000005</v>
      </c>
      <c r="H322" s="12">
        <f t="shared" si="36"/>
        <v>64321.849999999977</v>
      </c>
      <c r="K322" s="12">
        <f>+K316-H316</f>
        <v>43253.75</v>
      </c>
      <c r="L322" s="12">
        <f>+L316-K316+600000</f>
        <v>59352.179999999935</v>
      </c>
      <c r="M322" s="12">
        <f t="shared" ref="M322:O323" si="37">+M316-L316</f>
        <v>55710.259999999951</v>
      </c>
      <c r="N322" s="12">
        <f t="shared" si="37"/>
        <v>82740.63</v>
      </c>
      <c r="O322" s="12">
        <f t="shared" si="37"/>
        <v>76086.670000000042</v>
      </c>
      <c r="R322" s="12">
        <f>+R316-O316</f>
        <v>34190.069999999949</v>
      </c>
      <c r="S322" s="12">
        <f>+S316-R316</f>
        <v>47325.970000000088</v>
      </c>
      <c r="T322" s="12">
        <f>+T316-S316</f>
        <v>90356.559999999939</v>
      </c>
      <c r="U322" s="12">
        <f>U316-T316</f>
        <v>49590.880000000005</v>
      </c>
      <c r="V322" s="12">
        <f>+V316-U316</f>
        <v>48547.729999999981</v>
      </c>
      <c r="Y322" s="12">
        <f>+Y316-V316</f>
        <v>33197.70000000007</v>
      </c>
      <c r="Z322" s="12">
        <f>+Z316-Y316+600000</f>
        <v>36327.389999999898</v>
      </c>
      <c r="AA322" s="12">
        <f>+AA316-Z316</f>
        <v>76517.739999999991</v>
      </c>
      <c r="AB322" s="12">
        <f>+AB316-AA316</f>
        <v>69725.47000000003</v>
      </c>
      <c r="AC322" s="12">
        <f>+AC316-AB316+150000</f>
        <v>49577.440000000002</v>
      </c>
      <c r="AF322" s="12">
        <f>+AF316-AC316</f>
        <v>35887.75</v>
      </c>
      <c r="AG322" s="12">
        <f>+AG316-AF316</f>
        <v>44166.179999999993</v>
      </c>
      <c r="AH322" s="12">
        <f>+AH316-AG316</f>
        <v>37647.410000000033</v>
      </c>
      <c r="AI322" s="12">
        <f>+AI316-AH316</f>
        <v>110814.47999999998</v>
      </c>
    </row>
    <row r="323" spans="1:35">
      <c r="A323" s="18" t="s">
        <v>49</v>
      </c>
      <c r="E323" s="12">
        <f>+E317-AH299</f>
        <v>-13265.450000000012</v>
      </c>
      <c r="F323" s="12">
        <f t="shared" si="36"/>
        <v>-21060.249999999709</v>
      </c>
      <c r="G323" s="12">
        <f t="shared" si="36"/>
        <v>-35999.370000000075</v>
      </c>
      <c r="H323" s="12">
        <f t="shared" si="36"/>
        <v>-613686.19999999937</v>
      </c>
      <c r="K323" s="12">
        <f>+K317-H317</f>
        <v>45249.869999999821</v>
      </c>
      <c r="L323" s="12">
        <f>+L317-K317</f>
        <v>-18629.380000000063</v>
      </c>
      <c r="M323" s="12">
        <f t="shared" si="37"/>
        <v>-4909.9199999999255</v>
      </c>
      <c r="N323" s="12">
        <f t="shared" si="37"/>
        <v>-68059.319999999832</v>
      </c>
      <c r="O323" s="12">
        <f t="shared" si="37"/>
        <v>528210.51999999932</v>
      </c>
      <c r="R323" s="12">
        <f>+R317-O317</f>
        <v>-22704.639999999999</v>
      </c>
      <c r="S323" s="12">
        <f>S317-R317</f>
        <v>-3830.570000000007</v>
      </c>
      <c r="T323" s="12">
        <f>T317-S317</f>
        <v>-7069.7099999999919</v>
      </c>
      <c r="U323" s="12">
        <f>U317-T317</f>
        <v>-25462.799999999988</v>
      </c>
      <c r="V323" s="12">
        <f>+V317-U317</f>
        <v>-323518.81999999954</v>
      </c>
      <c r="Y323" s="12">
        <f>+Y317-V317</f>
        <v>-484.16999999992549</v>
      </c>
      <c r="Z323" s="12">
        <f>+Z317-Y317</f>
        <v>-9470.5599999999395</v>
      </c>
      <c r="AA323" s="12">
        <f>+AA317-Z317</f>
        <v>-5949.1800000001094</v>
      </c>
      <c r="AB323" s="12">
        <f>+AB317-AA317-600000</f>
        <v>-114781.12000000017</v>
      </c>
      <c r="AC323" s="12">
        <f>+AC317-AB317</f>
        <v>-28459.689999999973</v>
      </c>
      <c r="AF323" s="12">
        <f>+AF317-AC317-150000</f>
        <v>-86424.410000000586</v>
      </c>
      <c r="AH323" s="12">
        <f>+AH317-AF317</f>
        <v>-10575.969999999739</v>
      </c>
      <c r="AI323" s="12">
        <f>+AI317-AH317</f>
        <v>-18341.890000000036</v>
      </c>
    </row>
    <row r="325" spans="1:35">
      <c r="K325" s="12" t="s">
        <v>120</v>
      </c>
      <c r="N325" s="12" t="s">
        <v>121</v>
      </c>
      <c r="S325" s="12" t="s">
        <v>124</v>
      </c>
      <c r="V325" s="12" t="s">
        <v>75</v>
      </c>
      <c r="AA325" s="12" t="s">
        <v>129</v>
      </c>
      <c r="AB325" s="12">
        <v>54350</v>
      </c>
      <c r="AF325" s="12" t="s">
        <v>130</v>
      </c>
      <c r="AG325" s="12" t="s">
        <v>131</v>
      </c>
    </row>
    <row r="326" spans="1:35">
      <c r="S326" s="12" t="s">
        <v>125</v>
      </c>
    </row>
    <row r="327" spans="1:35">
      <c r="S327" s="12" t="s">
        <v>126</v>
      </c>
    </row>
    <row r="330" spans="1:35">
      <c r="E330" s="28">
        <v>3</v>
      </c>
      <c r="F330" s="28">
        <v>4</v>
      </c>
      <c r="G330" s="28">
        <v>5</v>
      </c>
      <c r="H330" s="28">
        <v>6</v>
      </c>
      <c r="I330" s="28">
        <v>5</v>
      </c>
      <c r="J330" s="28">
        <v>10</v>
      </c>
      <c r="K330" s="28">
        <v>7</v>
      </c>
      <c r="L330" s="28">
        <v>10</v>
      </c>
      <c r="M330" s="28">
        <v>11</v>
      </c>
      <c r="N330" s="28">
        <v>12</v>
      </c>
      <c r="O330" s="28">
        <v>13</v>
      </c>
      <c r="R330" s="28">
        <v>14</v>
      </c>
      <c r="S330" s="28">
        <v>17</v>
      </c>
      <c r="T330" s="28">
        <v>18</v>
      </c>
      <c r="U330" s="28">
        <v>19</v>
      </c>
      <c r="V330" s="28">
        <v>20</v>
      </c>
      <c r="W330" s="28">
        <v>17</v>
      </c>
      <c r="X330" s="28">
        <v>17</v>
      </c>
      <c r="Y330" s="28">
        <v>21</v>
      </c>
      <c r="Z330" s="28">
        <v>24</v>
      </c>
      <c r="AA330" s="28">
        <v>25</v>
      </c>
      <c r="AB330" s="28">
        <v>26</v>
      </c>
      <c r="AC330" s="28">
        <v>27</v>
      </c>
      <c r="AD330" s="28">
        <v>21</v>
      </c>
      <c r="AE330" s="28">
        <v>21</v>
      </c>
      <c r="AF330" s="28">
        <v>28</v>
      </c>
      <c r="AG330" s="19" t="s">
        <v>10</v>
      </c>
      <c r="AH330" s="19" t="s">
        <v>12</v>
      </c>
    </row>
    <row r="331" spans="1:35">
      <c r="A331" s="18" t="s">
        <v>42</v>
      </c>
      <c r="B331" s="18">
        <v>2012</v>
      </c>
      <c r="E331" s="94" t="s">
        <v>110</v>
      </c>
      <c r="F331" s="49" t="s">
        <v>4</v>
      </c>
      <c r="G331" s="49" t="s">
        <v>5</v>
      </c>
      <c r="H331" s="49" t="s">
        <v>22</v>
      </c>
      <c r="I331" s="49" t="s">
        <v>6</v>
      </c>
      <c r="K331" s="49" t="s">
        <v>6</v>
      </c>
      <c r="L331" s="49" t="s">
        <v>3</v>
      </c>
      <c r="M331" s="49" t="s">
        <v>4</v>
      </c>
      <c r="N331" s="49" t="s">
        <v>5</v>
      </c>
      <c r="O331" s="49" t="s">
        <v>22</v>
      </c>
      <c r="P331" s="49" t="s">
        <v>6</v>
      </c>
      <c r="R331" s="49" t="s">
        <v>6</v>
      </c>
      <c r="S331" s="49" t="s">
        <v>3</v>
      </c>
      <c r="T331" s="49" t="s">
        <v>4</v>
      </c>
      <c r="U331" s="49" t="s">
        <v>5</v>
      </c>
      <c r="V331" s="49" t="s">
        <v>22</v>
      </c>
      <c r="W331" s="49" t="s">
        <v>6</v>
      </c>
      <c r="Y331" s="49" t="s">
        <v>6</v>
      </c>
      <c r="Z331" s="49" t="s">
        <v>3</v>
      </c>
      <c r="AA331" s="49" t="s">
        <v>4</v>
      </c>
      <c r="AB331" s="49" t="s">
        <v>5</v>
      </c>
      <c r="AC331" s="49" t="s">
        <v>22</v>
      </c>
      <c r="AD331" s="49" t="s">
        <v>6</v>
      </c>
      <c r="AF331" s="49" t="s">
        <v>6</v>
      </c>
      <c r="AG331" s="19" t="s">
        <v>11</v>
      </c>
      <c r="AH331" s="19" t="s">
        <v>9</v>
      </c>
    </row>
    <row r="332" spans="1:35">
      <c r="A332" s="12" t="s">
        <v>47</v>
      </c>
      <c r="F332" s="86">
        <v>738938.74</v>
      </c>
      <c r="G332" s="86">
        <v>761247.28</v>
      </c>
      <c r="H332" s="86">
        <v>232480.03</v>
      </c>
      <c r="I332" s="89"/>
      <c r="J332" s="89"/>
      <c r="K332" s="86">
        <v>391438.82</v>
      </c>
      <c r="L332" s="12">
        <v>466614.12</v>
      </c>
      <c r="M332" s="12">
        <v>481603.18</v>
      </c>
      <c r="N332" s="12">
        <v>516571.45</v>
      </c>
      <c r="O332" s="86">
        <v>596929.67000000004</v>
      </c>
      <c r="P332" s="89"/>
      <c r="Q332" s="89"/>
      <c r="R332" s="86">
        <v>661627.19999999995</v>
      </c>
      <c r="S332" s="86">
        <v>726025.86</v>
      </c>
      <c r="T332" s="86">
        <v>759426.2</v>
      </c>
      <c r="U332" s="12">
        <v>829747.03</v>
      </c>
      <c r="V332" s="85">
        <v>294005.73</v>
      </c>
      <c r="Y332" s="85">
        <v>405056.99</v>
      </c>
      <c r="Z332" s="85">
        <v>472295.85</v>
      </c>
      <c r="AA332" s="85">
        <v>506486.44</v>
      </c>
      <c r="AB332" s="85">
        <v>552501.54</v>
      </c>
      <c r="AC332" s="85">
        <v>605642.43999999994</v>
      </c>
      <c r="AF332" s="85">
        <v>708199</v>
      </c>
      <c r="AG332" s="12">
        <f>SUM(E332:AF332)</f>
        <v>10706837.569999998</v>
      </c>
      <c r="AH332" s="12">
        <f>AVERAGE(E332:AF332)</f>
        <v>563517.76684210519</v>
      </c>
    </row>
    <row r="333" spans="1:35">
      <c r="A333" s="12" t="s">
        <v>18</v>
      </c>
      <c r="F333" s="58">
        <v>-130597.2000000001</v>
      </c>
      <c r="G333" s="12">
        <v>-601726.81999999902</v>
      </c>
      <c r="H333" s="12">
        <v>-701511.29999999935</v>
      </c>
      <c r="K333" s="12">
        <v>-161703.87999999966</v>
      </c>
      <c r="L333" s="12">
        <v>-167280.13</v>
      </c>
      <c r="M333" s="12">
        <v>-58855.7</v>
      </c>
      <c r="N333" s="12">
        <v>-71540.67</v>
      </c>
      <c r="O333" s="12">
        <v>-78137.789999999863</v>
      </c>
      <c r="R333" s="58">
        <v>-287470.3699999997</v>
      </c>
      <c r="S333" s="12">
        <v>-707660.5</v>
      </c>
      <c r="T333" s="92">
        <v>-990286.30999999947</v>
      </c>
      <c r="U333" s="58">
        <v>-681912.08999999973</v>
      </c>
      <c r="V333" s="12">
        <v>-672111.38999999978</v>
      </c>
      <c r="Y333" s="12">
        <v>-145465.53000000009</v>
      </c>
      <c r="Z333" s="12">
        <v>-180404.73</v>
      </c>
      <c r="AA333" s="12">
        <v>-207741.79999999955</v>
      </c>
      <c r="AB333" s="12">
        <v>-225120.35999999969</v>
      </c>
      <c r="AC333" s="12">
        <v>-301137.40999999968</v>
      </c>
      <c r="AF333" s="12">
        <v>-321686.5099999996</v>
      </c>
      <c r="AG333" s="12">
        <f>SUM(E333:AF333)</f>
        <v>-6692350.4899999965</v>
      </c>
      <c r="AH333" s="12">
        <f>AVERAGE(E333:AF333)</f>
        <v>-352228.97315789456</v>
      </c>
    </row>
    <row r="334" spans="1:35">
      <c r="A334" t="s">
        <v>21</v>
      </c>
      <c r="F334" s="58">
        <v>0</v>
      </c>
      <c r="G334" s="12">
        <v>0</v>
      </c>
      <c r="H334" s="12">
        <v>600000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600000</v>
      </c>
      <c r="Y334" s="12">
        <v>0</v>
      </c>
      <c r="Z334" s="12">
        <v>0</v>
      </c>
      <c r="AA334" s="12">
        <v>0</v>
      </c>
      <c r="AB334" s="12">
        <v>0</v>
      </c>
    </row>
    <row r="335" spans="1:35" ht="15.75" thickBot="1">
      <c r="A335" t="s">
        <v>122</v>
      </c>
      <c r="E335" s="17">
        <f>SUM(E332:E334)</f>
        <v>0</v>
      </c>
      <c r="F335" s="17">
        <f t="shared" ref="F335:AH335" si="38">SUM(F332:F334)</f>
        <v>608341.53999999992</v>
      </c>
      <c r="G335" s="17">
        <f t="shared" si="38"/>
        <v>159520.46000000101</v>
      </c>
      <c r="H335" s="17">
        <f t="shared" si="38"/>
        <v>130968.73000000068</v>
      </c>
      <c r="I335" s="17">
        <f t="shared" si="38"/>
        <v>0</v>
      </c>
      <c r="J335" s="17">
        <f t="shared" si="38"/>
        <v>0</v>
      </c>
      <c r="K335" s="17">
        <f t="shared" si="38"/>
        <v>229734.94000000035</v>
      </c>
      <c r="L335" s="17">
        <f t="shared" si="38"/>
        <v>299333.99</v>
      </c>
      <c r="M335" s="17">
        <f t="shared" si="38"/>
        <v>422747.48</v>
      </c>
      <c r="N335" s="17">
        <f t="shared" si="38"/>
        <v>445030.78</v>
      </c>
      <c r="O335" s="17">
        <f t="shared" si="38"/>
        <v>518791.88000000018</v>
      </c>
      <c r="P335" s="17">
        <f t="shared" si="38"/>
        <v>0</v>
      </c>
      <c r="Q335" s="17">
        <f t="shared" si="38"/>
        <v>0</v>
      </c>
      <c r="R335" s="17">
        <f t="shared" si="38"/>
        <v>374156.83000000025</v>
      </c>
      <c r="S335" s="17">
        <f t="shared" si="38"/>
        <v>18365.359999999986</v>
      </c>
      <c r="T335" s="17">
        <f t="shared" si="38"/>
        <v>-230860.10999999952</v>
      </c>
      <c r="U335" s="17">
        <f t="shared" si="38"/>
        <v>147834.94000000029</v>
      </c>
      <c r="V335" s="17">
        <f t="shared" si="38"/>
        <v>221894.3400000002</v>
      </c>
      <c r="W335" s="17">
        <f t="shared" si="38"/>
        <v>0</v>
      </c>
      <c r="X335" s="17">
        <f t="shared" si="38"/>
        <v>0</v>
      </c>
      <c r="Y335" s="17">
        <f t="shared" si="38"/>
        <v>259591.4599999999</v>
      </c>
      <c r="Z335" s="17">
        <f t="shared" si="38"/>
        <v>291891.12</v>
      </c>
      <c r="AA335" s="17">
        <f t="shared" si="38"/>
        <v>298744.64000000048</v>
      </c>
      <c r="AB335" s="17">
        <f t="shared" si="38"/>
        <v>327381.18000000034</v>
      </c>
      <c r="AC335" s="17">
        <f t="shared" si="38"/>
        <v>304505.03000000026</v>
      </c>
      <c r="AD335" s="17">
        <f t="shared" si="38"/>
        <v>0</v>
      </c>
      <c r="AE335" s="17">
        <f t="shared" si="38"/>
        <v>0</v>
      </c>
      <c r="AF335" s="17">
        <f t="shared" si="38"/>
        <v>386512.4900000004</v>
      </c>
      <c r="AG335" s="17">
        <f t="shared" si="38"/>
        <v>4014487.0800000019</v>
      </c>
      <c r="AH335" s="17">
        <f t="shared" si="38"/>
        <v>211288.79368421063</v>
      </c>
    </row>
    <row r="336" spans="1:35" ht="15.75" thickTop="1"/>
    <row r="338" spans="1:37">
      <c r="A338" s="18" t="s">
        <v>48</v>
      </c>
      <c r="F338" s="12">
        <f>+F332-AI316</f>
        <v>41333.579999999958</v>
      </c>
      <c r="G338" s="12">
        <f>+G332-F332</f>
        <v>22308.540000000037</v>
      </c>
      <c r="H338" s="12">
        <f>+H332-G332+600000</f>
        <v>71232.75</v>
      </c>
      <c r="K338" s="12">
        <f>+K332-H332</f>
        <v>158958.79</v>
      </c>
      <c r="L338" s="12">
        <f>+L332-K332</f>
        <v>75175.299999999988</v>
      </c>
      <c r="M338" s="12">
        <f>M332-L332</f>
        <v>14989.059999999998</v>
      </c>
      <c r="N338" s="12">
        <f>N332-M332</f>
        <v>34968.270000000019</v>
      </c>
      <c r="O338" s="12">
        <f>+O332-N332</f>
        <v>80358.22000000003</v>
      </c>
      <c r="R338" s="12">
        <f>+R332-O332</f>
        <v>64697.529999999912</v>
      </c>
      <c r="S338" s="12">
        <f t="shared" ref="S338:U339" si="39">+S332-R332</f>
        <v>64398.660000000033</v>
      </c>
      <c r="T338" s="91">
        <f t="shared" si="39"/>
        <v>33400.339999999967</v>
      </c>
      <c r="U338" s="12">
        <f t="shared" si="39"/>
        <v>70320.830000000075</v>
      </c>
      <c r="V338" s="12">
        <f>+V332-U332+600000</f>
        <v>64258.699999999953</v>
      </c>
      <c r="Y338" s="12">
        <f>+Y332-V332</f>
        <v>111051.26000000001</v>
      </c>
      <c r="Z338" s="12">
        <f>Z332-Y332</f>
        <v>67238.859999999986</v>
      </c>
      <c r="AA338" s="12">
        <f t="shared" ref="AA338:AC339" si="40">+AA332-Z332</f>
        <v>34190.590000000026</v>
      </c>
      <c r="AB338" s="12">
        <f t="shared" si="40"/>
        <v>46015.100000000035</v>
      </c>
      <c r="AC338" s="12">
        <f t="shared" si="40"/>
        <v>53140.899999999907</v>
      </c>
      <c r="AF338" s="12">
        <f>+AF332-AC332</f>
        <v>102556.56000000006</v>
      </c>
    </row>
    <row r="339" spans="1:37">
      <c r="A339" s="18" t="s">
        <v>49</v>
      </c>
      <c r="F339" s="12">
        <f>+F333-AI317</f>
        <v>-146226.03000000009</v>
      </c>
      <c r="G339" s="12">
        <f>+G333-F333</f>
        <v>-471129.61999999895</v>
      </c>
      <c r="H339" s="12">
        <f>+H333-G333</f>
        <v>-99784.480000000331</v>
      </c>
      <c r="K339" s="12">
        <f>+K333-H333-600000</f>
        <v>-60192.580000000307</v>
      </c>
      <c r="L339" s="12">
        <f>+L333-K333</f>
        <v>-5576.2500000003492</v>
      </c>
      <c r="M339" s="12">
        <f>M333-L333</f>
        <v>108424.43000000001</v>
      </c>
      <c r="N339" s="12">
        <f>N333-M333</f>
        <v>-12684.970000000001</v>
      </c>
      <c r="O339" s="12">
        <f>+O333-N333</f>
        <v>-6597.1199999998644</v>
      </c>
      <c r="R339" s="12">
        <f>+R333-O333</f>
        <v>-209332.57999999984</v>
      </c>
      <c r="S339" s="12">
        <f t="shared" si="39"/>
        <v>-420190.1300000003</v>
      </c>
      <c r="T339" s="12">
        <f t="shared" si="39"/>
        <v>-282625.80999999947</v>
      </c>
      <c r="U339" s="12">
        <f t="shared" si="39"/>
        <v>308374.21999999974</v>
      </c>
      <c r="V339" s="12">
        <f>+V333-U333</f>
        <v>9800.6999999999534</v>
      </c>
      <c r="Y339" s="12">
        <f>-600000+Y333-V333</f>
        <v>-73354.140000000247</v>
      </c>
      <c r="Z339" s="12">
        <f>Z333-Y333</f>
        <v>-34939.199999999924</v>
      </c>
      <c r="AA339" s="12">
        <f t="shared" si="40"/>
        <v>-27337.069999999541</v>
      </c>
      <c r="AB339" s="12">
        <f t="shared" si="40"/>
        <v>-17378.560000000143</v>
      </c>
      <c r="AC339" s="12">
        <f t="shared" si="40"/>
        <v>-76017.049999999988</v>
      </c>
      <c r="AF339" s="12">
        <f>+AF333-AC333</f>
        <v>-20549.099999999919</v>
      </c>
    </row>
    <row r="341" spans="1:37">
      <c r="G341" s="12" t="s">
        <v>132</v>
      </c>
      <c r="H341" s="12" t="s">
        <v>133</v>
      </c>
      <c r="M341" s="12" t="s">
        <v>135</v>
      </c>
      <c r="S341" s="12" t="s">
        <v>134</v>
      </c>
      <c r="T341" s="12" t="s">
        <v>134</v>
      </c>
      <c r="U341" s="12" t="s">
        <v>59</v>
      </c>
    </row>
    <row r="342" spans="1:37">
      <c r="M342" s="12" t="s">
        <v>136</v>
      </c>
      <c r="U342" s="12">
        <v>260301</v>
      </c>
      <c r="AC342" s="12" t="s">
        <v>138</v>
      </c>
    </row>
    <row r="343" spans="1:37">
      <c r="U343" s="12" t="s">
        <v>137</v>
      </c>
    </row>
    <row r="344" spans="1:37">
      <c r="U344" s="12">
        <v>50000</v>
      </c>
    </row>
    <row r="346" spans="1:37">
      <c r="E346" s="28">
        <v>1</v>
      </c>
      <c r="F346" s="28">
        <v>2</v>
      </c>
      <c r="G346" s="28">
        <v>3</v>
      </c>
      <c r="H346" s="28">
        <v>4</v>
      </c>
      <c r="K346" s="28">
        <v>5</v>
      </c>
      <c r="L346" s="28">
        <v>8</v>
      </c>
      <c r="M346" s="28">
        <v>9</v>
      </c>
      <c r="N346" s="28">
        <v>10</v>
      </c>
      <c r="O346" s="28">
        <v>11</v>
      </c>
      <c r="R346" s="28">
        <v>12</v>
      </c>
      <c r="S346" s="28">
        <v>15</v>
      </c>
      <c r="T346" s="28">
        <v>16</v>
      </c>
      <c r="U346" s="28">
        <v>17</v>
      </c>
      <c r="V346" s="28">
        <v>18</v>
      </c>
      <c r="Y346" s="28">
        <v>19</v>
      </c>
      <c r="Z346" s="28">
        <v>22</v>
      </c>
      <c r="AA346" s="28">
        <v>23</v>
      </c>
      <c r="AB346" s="28">
        <v>24</v>
      </c>
      <c r="AC346" s="28">
        <v>25</v>
      </c>
      <c r="AF346" s="28">
        <v>26</v>
      </c>
      <c r="AG346" s="28">
        <v>29</v>
      </c>
      <c r="AH346" s="28">
        <v>30</v>
      </c>
      <c r="AI346" s="28">
        <v>31</v>
      </c>
      <c r="AJ346" s="19" t="s">
        <v>10</v>
      </c>
      <c r="AK346" s="19" t="s">
        <v>12</v>
      </c>
    </row>
    <row r="347" spans="1:37">
      <c r="A347" s="18" t="s">
        <v>43</v>
      </c>
      <c r="B347" s="18">
        <v>2012</v>
      </c>
      <c r="E347" s="49" t="s">
        <v>3</v>
      </c>
      <c r="F347" s="49" t="s">
        <v>4</v>
      </c>
      <c r="G347" s="49" t="s">
        <v>5</v>
      </c>
      <c r="H347" s="49" t="s">
        <v>22</v>
      </c>
      <c r="I347" s="49" t="s">
        <v>6</v>
      </c>
      <c r="K347" s="49" t="s">
        <v>6</v>
      </c>
      <c r="L347" s="49" t="s">
        <v>3</v>
      </c>
      <c r="M347" s="49" t="s">
        <v>4</v>
      </c>
      <c r="N347" s="49" t="s">
        <v>5</v>
      </c>
      <c r="O347" s="49" t="s">
        <v>22</v>
      </c>
      <c r="P347" s="49" t="s">
        <v>6</v>
      </c>
      <c r="R347" s="49" t="s">
        <v>6</v>
      </c>
      <c r="S347" s="49" t="s">
        <v>3</v>
      </c>
      <c r="T347" s="49" t="s">
        <v>4</v>
      </c>
      <c r="U347" s="49" t="s">
        <v>5</v>
      </c>
      <c r="V347" s="49" t="s">
        <v>22</v>
      </c>
      <c r="W347" s="49" t="s">
        <v>6</v>
      </c>
      <c r="Y347" s="49" t="s">
        <v>6</v>
      </c>
      <c r="Z347" s="49" t="s">
        <v>3</v>
      </c>
      <c r="AA347" s="49" t="s">
        <v>4</v>
      </c>
      <c r="AB347" s="49" t="s">
        <v>5</v>
      </c>
      <c r="AC347" s="49" t="s">
        <v>22</v>
      </c>
      <c r="AD347" s="49" t="s">
        <v>6</v>
      </c>
      <c r="AF347" s="49" t="s">
        <v>6</v>
      </c>
      <c r="AG347" s="49" t="s">
        <v>3</v>
      </c>
      <c r="AH347" s="49" t="s">
        <v>4</v>
      </c>
      <c r="AI347" s="49" t="s">
        <v>5</v>
      </c>
      <c r="AJ347" s="19" t="s">
        <v>11</v>
      </c>
      <c r="AK347" s="19" t="s">
        <v>9</v>
      </c>
    </row>
    <row r="348" spans="1:37">
      <c r="A348" s="12" t="s">
        <v>47</v>
      </c>
      <c r="E348" s="85">
        <v>762425.65</v>
      </c>
      <c r="F348" s="85">
        <v>780608.5</v>
      </c>
      <c r="G348" s="85">
        <v>221670.17</v>
      </c>
      <c r="H348" s="85">
        <v>302588.93</v>
      </c>
      <c r="K348" s="85">
        <v>401478.75</v>
      </c>
      <c r="L348" s="85">
        <v>483143.29</v>
      </c>
      <c r="M348" s="85">
        <v>483143.29</v>
      </c>
      <c r="N348" s="85">
        <v>376211.35</v>
      </c>
      <c r="O348" s="85">
        <v>445171.34</v>
      </c>
      <c r="R348" s="85">
        <v>550995.39</v>
      </c>
      <c r="S348" s="85">
        <v>647237.02</v>
      </c>
      <c r="T348" s="85">
        <v>681229.36</v>
      </c>
      <c r="U348" s="85">
        <v>141328.84</v>
      </c>
      <c r="V348" s="85">
        <v>193024.47</v>
      </c>
      <c r="Y348" s="85">
        <v>298004.43</v>
      </c>
      <c r="Z348" s="85">
        <v>335032.09999999998</v>
      </c>
      <c r="AA348" s="85">
        <v>369353.25</v>
      </c>
      <c r="AB348" s="85">
        <v>434502.82</v>
      </c>
      <c r="AC348" s="85">
        <v>204433.82</v>
      </c>
      <c r="AF348" s="85">
        <v>324520.7</v>
      </c>
      <c r="AG348" s="85">
        <v>406141.16</v>
      </c>
      <c r="AH348" s="85">
        <v>436404.23</v>
      </c>
      <c r="AI348" s="85">
        <v>515323.94</v>
      </c>
      <c r="AJ348" s="12">
        <f>SUM(E348:AI348)</f>
        <v>9793972.7999999989</v>
      </c>
      <c r="AK348" s="12">
        <f>AVERAGE(E348:AI348)</f>
        <v>425824.90434782603</v>
      </c>
    </row>
    <row r="349" spans="1:37">
      <c r="A349" s="12" t="s">
        <v>18</v>
      </c>
      <c r="E349" s="58">
        <v>-910726.4299999997</v>
      </c>
      <c r="F349" s="12">
        <v>-926881.7999999997</v>
      </c>
      <c r="G349" s="12">
        <v>-899101.25999999978</v>
      </c>
      <c r="H349" s="12">
        <v>-961883.01999999944</v>
      </c>
      <c r="K349" s="12">
        <v>-444249.23999999947</v>
      </c>
      <c r="L349" s="12">
        <v>-502549.73999999947</v>
      </c>
      <c r="M349" s="58">
        <v>-510362.27999999939</v>
      </c>
      <c r="N349" s="12">
        <v>-373821.01999999967</v>
      </c>
      <c r="O349" s="12">
        <v>-193910.51000000024</v>
      </c>
      <c r="R349" s="95">
        <v>-224176.63000000035</v>
      </c>
      <c r="S349" s="12">
        <v>-904021.80999999912</v>
      </c>
      <c r="T349" s="12">
        <v>-894577.8599999994</v>
      </c>
      <c r="U349" s="12">
        <v>-970098.65999999992</v>
      </c>
      <c r="Y349" s="12">
        <v>-359208.86999999976</v>
      </c>
      <c r="Z349" s="12">
        <v>-419581.96999999939</v>
      </c>
      <c r="AA349" s="58">
        <v>-438387.25999999931</v>
      </c>
      <c r="AB349" s="12">
        <v>-400392.21999999939</v>
      </c>
      <c r="AC349" s="12">
        <v>-428724.44999999949</v>
      </c>
      <c r="AF349" s="12">
        <v>-238138.96</v>
      </c>
      <c r="AG349" s="12">
        <v>-876652.44999999949</v>
      </c>
      <c r="AH349" s="12">
        <v>-873330.86999999941</v>
      </c>
      <c r="AI349" s="12">
        <v>-881808.02999999945</v>
      </c>
      <c r="AJ349" s="12">
        <f>SUM(E349:AI349)</f>
        <v>-13632585.339999991</v>
      </c>
      <c r="AK349" s="12">
        <f>AVERAGE(E349:AI349)</f>
        <v>-619662.96999999962</v>
      </c>
    </row>
    <row r="350" spans="1:37">
      <c r="A350" t="s">
        <v>21</v>
      </c>
      <c r="E350" s="12">
        <v>0</v>
      </c>
      <c r="F350" s="12">
        <v>0</v>
      </c>
      <c r="G350" s="12">
        <v>600000</v>
      </c>
      <c r="H350" s="12">
        <v>600000</v>
      </c>
      <c r="K350" s="12">
        <v>0</v>
      </c>
      <c r="L350" s="12">
        <v>0</v>
      </c>
      <c r="M350" s="12">
        <v>0</v>
      </c>
      <c r="N350" s="12">
        <v>200000</v>
      </c>
      <c r="O350" s="12">
        <v>0</v>
      </c>
      <c r="R350" s="12">
        <v>0</v>
      </c>
      <c r="S350" s="12">
        <v>0</v>
      </c>
      <c r="T350" s="12">
        <v>0</v>
      </c>
      <c r="U350" s="12">
        <v>550000</v>
      </c>
      <c r="V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300000</v>
      </c>
      <c r="AF350" s="12">
        <v>0</v>
      </c>
      <c r="AG350" s="12">
        <v>0</v>
      </c>
      <c r="AH350" s="12">
        <v>0</v>
      </c>
      <c r="AI350" s="12">
        <v>0</v>
      </c>
    </row>
    <row r="351" spans="1:37" ht="15.75" thickBot="1">
      <c r="A351" t="s">
        <v>122</v>
      </c>
      <c r="E351" s="17">
        <f>SUM(E348:E350)</f>
        <v>-148300.77999999968</v>
      </c>
      <c r="F351" s="17">
        <f t="shared" ref="F351:AI351" si="41">SUM(F348:F350)</f>
        <v>-146273.2999999997</v>
      </c>
      <c r="G351" s="17">
        <f t="shared" si="41"/>
        <v>-77431.089999999735</v>
      </c>
      <c r="H351" s="17">
        <f t="shared" si="41"/>
        <v>-59294.089999999385</v>
      </c>
      <c r="I351" s="17">
        <f t="shared" si="41"/>
        <v>0</v>
      </c>
      <c r="J351" s="17">
        <f t="shared" si="41"/>
        <v>0</v>
      </c>
      <c r="K351" s="17">
        <f t="shared" si="41"/>
        <v>-42770.489999999467</v>
      </c>
      <c r="L351" s="17">
        <f t="shared" si="41"/>
        <v>-19406.449999999488</v>
      </c>
      <c r="M351" s="17">
        <f t="shared" si="41"/>
        <v>-27218.989999999409</v>
      </c>
      <c r="N351" s="17">
        <f t="shared" si="41"/>
        <v>202390.33000000031</v>
      </c>
      <c r="O351" s="17">
        <f t="shared" si="41"/>
        <v>251260.82999999978</v>
      </c>
      <c r="P351" s="17">
        <f t="shared" si="41"/>
        <v>0</v>
      </c>
      <c r="Q351" s="17">
        <f t="shared" si="41"/>
        <v>0</v>
      </c>
      <c r="R351" s="17">
        <f t="shared" si="41"/>
        <v>326818.75999999966</v>
      </c>
      <c r="S351" s="17">
        <f t="shared" si="41"/>
        <v>-256784.78999999911</v>
      </c>
      <c r="T351" s="17">
        <f t="shared" si="41"/>
        <v>-213348.49999999942</v>
      </c>
      <c r="U351" s="17">
        <f t="shared" si="41"/>
        <v>-278769.81999999995</v>
      </c>
      <c r="V351" s="17">
        <f t="shared" si="41"/>
        <v>193024.47</v>
      </c>
      <c r="W351" s="17">
        <f t="shared" si="41"/>
        <v>0</v>
      </c>
      <c r="X351" s="17">
        <f t="shared" si="41"/>
        <v>0</v>
      </c>
      <c r="Y351" s="17">
        <f t="shared" si="41"/>
        <v>-61204.439999999769</v>
      </c>
      <c r="Z351" s="17">
        <f t="shared" si="41"/>
        <v>-84549.869999999413</v>
      </c>
      <c r="AA351" s="17">
        <f t="shared" si="41"/>
        <v>-69034.009999999311</v>
      </c>
      <c r="AB351" s="17">
        <f t="shared" si="41"/>
        <v>34110.600000000617</v>
      </c>
      <c r="AC351" s="17">
        <f t="shared" si="41"/>
        <v>75709.370000000519</v>
      </c>
      <c r="AD351" s="17">
        <f t="shared" si="41"/>
        <v>0</v>
      </c>
      <c r="AE351" s="17">
        <f t="shared" si="41"/>
        <v>0</v>
      </c>
      <c r="AF351" s="17">
        <f t="shared" si="41"/>
        <v>86381.74000000002</v>
      </c>
      <c r="AG351" s="17">
        <f t="shared" si="41"/>
        <v>-470511.28999999951</v>
      </c>
      <c r="AH351" s="17">
        <f t="shared" si="41"/>
        <v>-436926.63999999943</v>
      </c>
      <c r="AI351" s="17">
        <f t="shared" si="41"/>
        <v>-366484.08999999944</v>
      </c>
      <c r="AJ351" s="17">
        <f t="shared" ref="AJ351:AK351" si="42">SUM(AJ348:AJ350)</f>
        <v>-3838612.5399999917</v>
      </c>
      <c r="AK351" s="17">
        <f t="shared" si="42"/>
        <v>-193838.06565217359</v>
      </c>
    </row>
    <row r="352" spans="1:37" ht="15.75" thickTop="1"/>
    <row r="354" spans="1:36">
      <c r="A354" s="18" t="s">
        <v>48</v>
      </c>
      <c r="E354" s="12">
        <f>+E348-AF332</f>
        <v>54226.650000000023</v>
      </c>
      <c r="F354" s="12">
        <f>+F348-E348</f>
        <v>18182.849999999977</v>
      </c>
      <c r="G354" s="12">
        <f>+G348-F348+600000</f>
        <v>41061.670000000042</v>
      </c>
      <c r="H354" s="12">
        <f>+H348-G348</f>
        <v>80918.75999999998</v>
      </c>
      <c r="K354" s="12">
        <f>+K348-H348</f>
        <v>98889.82</v>
      </c>
      <c r="L354" s="12">
        <f>+L348-K348</f>
        <v>81664.539999999979</v>
      </c>
      <c r="M354" s="12">
        <f>+M348-L348</f>
        <v>0</v>
      </c>
      <c r="N354" s="12">
        <f>+N348-M348+200000</f>
        <v>93068.06</v>
      </c>
      <c r="O354" s="12">
        <f>+O348-N348</f>
        <v>68959.990000000049</v>
      </c>
      <c r="R354" s="12">
        <f>+R348-O348</f>
        <v>105824.04999999999</v>
      </c>
      <c r="S354" s="12">
        <f>+S348-R348</f>
        <v>96241.63</v>
      </c>
      <c r="T354" s="12">
        <f>+T348-S348</f>
        <v>33992.339999999967</v>
      </c>
      <c r="U354" s="12">
        <f>+U348-T348+550000</f>
        <v>10099.479999999981</v>
      </c>
      <c r="V354" s="12">
        <f>+V348-U348</f>
        <v>51695.630000000005</v>
      </c>
      <c r="Y354" s="12">
        <f>+Y348-V348</f>
        <v>104979.95999999999</v>
      </c>
      <c r="Z354" s="12">
        <f t="shared" ref="Z354:AB355" si="43">+Z348-Y348</f>
        <v>37027.669999999984</v>
      </c>
      <c r="AA354" s="12">
        <f t="shared" si="43"/>
        <v>34321.150000000023</v>
      </c>
      <c r="AB354" s="12">
        <f t="shared" si="43"/>
        <v>65149.570000000007</v>
      </c>
      <c r="AC354" s="12">
        <f>+AC348-AB348+300000</f>
        <v>69931</v>
      </c>
      <c r="AF354" s="12">
        <f>+AF348-AC348</f>
        <v>120086.88</v>
      </c>
      <c r="AG354" s="12">
        <f t="shared" ref="AG354:AI355" si="44">+AG348-AF348</f>
        <v>81620.459999999963</v>
      </c>
      <c r="AH354" s="12">
        <f t="shared" si="44"/>
        <v>30263.070000000007</v>
      </c>
      <c r="AI354" s="12">
        <f t="shared" si="44"/>
        <v>78919.710000000021</v>
      </c>
    </row>
    <row r="355" spans="1:36">
      <c r="A355" s="18" t="s">
        <v>49</v>
      </c>
      <c r="E355" s="12">
        <f>+E349-AF333</f>
        <v>-589039.92000000016</v>
      </c>
      <c r="F355" s="12">
        <f>+F349-E349</f>
        <v>-16155.369999999995</v>
      </c>
      <c r="G355" s="12">
        <f>+G349-F349</f>
        <v>27780.539999999921</v>
      </c>
      <c r="H355" s="12">
        <f>+H349-G349</f>
        <v>-62781.75999999966</v>
      </c>
      <c r="K355" s="12">
        <f>+K349-H349-600000</f>
        <v>-82366.22000000003</v>
      </c>
      <c r="L355" s="12">
        <f>+L349-K349</f>
        <v>-58300.5</v>
      </c>
      <c r="M355" s="12">
        <f>+M349-L349</f>
        <v>-7812.5399999999208</v>
      </c>
      <c r="N355" s="12">
        <f>+N349-M349</f>
        <v>136541.25999999972</v>
      </c>
      <c r="O355" s="12">
        <f>+O349-N349-200000</f>
        <v>-20089.490000000573</v>
      </c>
      <c r="R355" s="12">
        <f>+R349-O349</f>
        <v>-30266.120000000112</v>
      </c>
      <c r="S355" s="12">
        <f>+S349-R349</f>
        <v>-679845.17999999877</v>
      </c>
      <c r="T355" s="12">
        <f>+T349-S349</f>
        <v>9443.9499999997206</v>
      </c>
      <c r="U355" s="12">
        <f>+U349-T349</f>
        <v>-75520.800000000512</v>
      </c>
      <c r="V355" s="12">
        <v>0</v>
      </c>
      <c r="Y355" s="12">
        <f>+Y349-U349-500000</f>
        <v>110889.79000000015</v>
      </c>
      <c r="Z355" s="12">
        <f t="shared" si="43"/>
        <v>-60373.099999999627</v>
      </c>
      <c r="AA355" s="12">
        <f t="shared" si="43"/>
        <v>-18805.289999999921</v>
      </c>
      <c r="AB355" s="12">
        <f t="shared" si="43"/>
        <v>37995.039999999921</v>
      </c>
      <c r="AC355" s="12">
        <f>+AC349-AB349</f>
        <v>-28332.230000000098</v>
      </c>
      <c r="AF355" s="12">
        <f>+AC349-AF349+300000</f>
        <v>109414.5100000005</v>
      </c>
      <c r="AG355" s="12">
        <f t="shared" si="44"/>
        <v>-638513.48999999953</v>
      </c>
      <c r="AH355" s="12">
        <f t="shared" si="44"/>
        <v>3321.5800000000745</v>
      </c>
      <c r="AI355" s="12">
        <f t="shared" si="44"/>
        <v>-8477.1600000000326</v>
      </c>
    </row>
    <row r="357" spans="1:36">
      <c r="E357" s="12" t="s">
        <v>134</v>
      </c>
      <c r="H357" s="12" t="s">
        <v>139</v>
      </c>
      <c r="M357" s="12" t="s">
        <v>144</v>
      </c>
      <c r="N357" s="12">
        <v>18610</v>
      </c>
      <c r="S357" s="12" t="s">
        <v>134</v>
      </c>
      <c r="V357" s="12" t="s">
        <v>140</v>
      </c>
      <c r="Y357" s="12">
        <v>68682</v>
      </c>
      <c r="AA357" s="12" t="s">
        <v>96</v>
      </c>
      <c r="AB357" s="12">
        <v>27695.33</v>
      </c>
      <c r="AG357" s="12" t="s">
        <v>134</v>
      </c>
      <c r="AH357" s="12" t="s">
        <v>150</v>
      </c>
    </row>
    <row r="358" spans="1:36">
      <c r="M358" s="12" t="s">
        <v>59</v>
      </c>
      <c r="N358" s="50">
        <v>260301.33</v>
      </c>
      <c r="S358" s="12" t="s">
        <v>147</v>
      </c>
      <c r="V358" s="12" t="s">
        <v>119</v>
      </c>
      <c r="Y358" s="12">
        <v>6750</v>
      </c>
      <c r="AA358" s="12" t="s">
        <v>149</v>
      </c>
      <c r="AB358" s="12">
        <v>18782.86</v>
      </c>
    </row>
    <row r="359" spans="1:36">
      <c r="M359" s="12" t="s">
        <v>140</v>
      </c>
      <c r="N359" s="12">
        <v>68937</v>
      </c>
      <c r="S359" s="12" t="s">
        <v>148</v>
      </c>
    </row>
    <row r="360" spans="1:36">
      <c r="M360" s="12" t="s">
        <v>141</v>
      </c>
      <c r="N360" s="12">
        <v>-63660</v>
      </c>
    </row>
    <row r="361" spans="1:36">
      <c r="M361" s="12" t="s">
        <v>142</v>
      </c>
      <c r="N361" s="12">
        <v>-56071</v>
      </c>
    </row>
    <row r="362" spans="1:36">
      <c r="M362" s="12" t="s">
        <v>145</v>
      </c>
      <c r="N362" s="12">
        <v>-20006</v>
      </c>
    </row>
    <row r="363" spans="1:36">
      <c r="M363" s="12" t="s">
        <v>146</v>
      </c>
      <c r="N363" s="12">
        <v>-37564</v>
      </c>
    </row>
    <row r="364" spans="1:36">
      <c r="M364" s="12" t="s">
        <v>143</v>
      </c>
      <c r="N364" s="16">
        <v>-16185</v>
      </c>
    </row>
    <row r="365" spans="1:36">
      <c r="N365" s="12">
        <f>SUM(N357:N364)</f>
        <v>154362.32999999996</v>
      </c>
    </row>
    <row r="367" spans="1:36">
      <c r="M367" s="12" t="s">
        <v>110</v>
      </c>
      <c r="N367" s="12" t="s">
        <v>110</v>
      </c>
      <c r="Z367" s="12" t="s">
        <v>110</v>
      </c>
      <c r="AA367" s="12" t="s">
        <v>110</v>
      </c>
    </row>
    <row r="368" spans="1:36">
      <c r="E368" s="28">
        <v>1</v>
      </c>
      <c r="F368" s="28">
        <v>2</v>
      </c>
      <c r="G368" s="28">
        <v>5</v>
      </c>
      <c r="H368" s="28">
        <v>6</v>
      </c>
      <c r="I368" s="28">
        <v>5</v>
      </c>
      <c r="J368" s="28">
        <v>10</v>
      </c>
      <c r="K368" s="28">
        <v>7</v>
      </c>
      <c r="L368" s="28">
        <v>8</v>
      </c>
      <c r="M368" s="28">
        <v>9</v>
      </c>
      <c r="N368" s="47">
        <v>12</v>
      </c>
      <c r="O368" s="28">
        <v>13</v>
      </c>
      <c r="P368" s="28">
        <v>9</v>
      </c>
      <c r="Q368" s="28">
        <v>10</v>
      </c>
      <c r="R368" s="28">
        <v>14</v>
      </c>
      <c r="S368" s="28">
        <v>15</v>
      </c>
      <c r="T368" s="28">
        <v>16</v>
      </c>
      <c r="U368" s="47">
        <v>19</v>
      </c>
      <c r="V368" s="28">
        <v>20</v>
      </c>
      <c r="W368" s="28">
        <v>9</v>
      </c>
      <c r="X368" s="28">
        <v>10</v>
      </c>
      <c r="Y368" s="28">
        <v>21</v>
      </c>
      <c r="Z368" s="28">
        <v>22</v>
      </c>
      <c r="AA368" s="28">
        <v>23</v>
      </c>
      <c r="AB368" s="47">
        <v>26</v>
      </c>
      <c r="AC368" s="28">
        <v>27</v>
      </c>
      <c r="AD368" s="28">
        <v>9</v>
      </c>
      <c r="AE368" s="28">
        <v>10</v>
      </c>
      <c r="AF368" s="28">
        <v>28</v>
      </c>
      <c r="AG368" s="28">
        <v>29</v>
      </c>
      <c r="AH368" s="28">
        <v>30</v>
      </c>
      <c r="AI368" s="19" t="s">
        <v>10</v>
      </c>
      <c r="AJ368" s="19" t="s">
        <v>12</v>
      </c>
    </row>
    <row r="369" spans="1:36">
      <c r="A369" s="18" t="s">
        <v>44</v>
      </c>
      <c r="B369" s="18">
        <v>2012</v>
      </c>
      <c r="E369" s="49" t="s">
        <v>22</v>
      </c>
      <c r="F369" s="49" t="s">
        <v>6</v>
      </c>
      <c r="G369" s="49" t="s">
        <v>3</v>
      </c>
      <c r="H369" s="49" t="s">
        <v>4</v>
      </c>
      <c r="I369" s="49" t="s">
        <v>5</v>
      </c>
      <c r="J369" s="49" t="s">
        <v>22</v>
      </c>
      <c r="K369" s="49" t="s">
        <v>5</v>
      </c>
      <c r="L369" s="49" t="s">
        <v>22</v>
      </c>
      <c r="M369" s="49" t="s">
        <v>6</v>
      </c>
      <c r="N369" s="49" t="s">
        <v>3</v>
      </c>
      <c r="O369" s="49" t="s">
        <v>4</v>
      </c>
      <c r="P369" s="49" t="s">
        <v>5</v>
      </c>
      <c r="Q369" s="49" t="s">
        <v>22</v>
      </c>
      <c r="R369" s="49" t="s">
        <v>5</v>
      </c>
      <c r="S369" s="49" t="s">
        <v>22</v>
      </c>
      <c r="T369" s="49" t="s">
        <v>6</v>
      </c>
      <c r="U369" s="49" t="s">
        <v>3</v>
      </c>
      <c r="V369" s="49" t="s">
        <v>4</v>
      </c>
      <c r="W369" s="49" t="s">
        <v>5</v>
      </c>
      <c r="X369" s="49" t="s">
        <v>22</v>
      </c>
      <c r="Y369" s="49" t="s">
        <v>5</v>
      </c>
      <c r="Z369" s="49" t="s">
        <v>22</v>
      </c>
      <c r="AA369" s="49" t="s">
        <v>6</v>
      </c>
      <c r="AB369" s="49" t="s">
        <v>3</v>
      </c>
      <c r="AC369" s="49" t="s">
        <v>4</v>
      </c>
      <c r="AD369" s="49" t="s">
        <v>5</v>
      </c>
      <c r="AE369" s="49" t="s">
        <v>22</v>
      </c>
      <c r="AF369" s="49" t="s">
        <v>5</v>
      </c>
      <c r="AG369" s="49" t="s">
        <v>22</v>
      </c>
      <c r="AH369" s="49" t="s">
        <v>6</v>
      </c>
      <c r="AI369" s="19" t="s">
        <v>11</v>
      </c>
      <c r="AJ369" s="19" t="s">
        <v>9</v>
      </c>
    </row>
    <row r="370" spans="1:36">
      <c r="A370" s="12" t="s">
        <v>47</v>
      </c>
      <c r="E370" s="85">
        <v>579364.19999999995</v>
      </c>
      <c r="F370" s="85">
        <v>137485.44</v>
      </c>
      <c r="G370" s="85">
        <v>195942.53</v>
      </c>
      <c r="H370" s="85">
        <v>236830.56</v>
      </c>
      <c r="K370" s="85">
        <v>329508.73</v>
      </c>
      <c r="L370" s="85">
        <v>389951.08</v>
      </c>
      <c r="O370" s="85">
        <v>545927.43999999994</v>
      </c>
      <c r="R370" s="85">
        <v>103239.2</v>
      </c>
      <c r="S370" s="85">
        <v>169283.20000000001</v>
      </c>
      <c r="T370" s="85">
        <v>303767.76</v>
      </c>
      <c r="U370" s="12">
        <v>401141.04</v>
      </c>
      <c r="V370" s="12">
        <v>434118.59</v>
      </c>
      <c r="Y370" s="12">
        <v>524361.89</v>
      </c>
      <c r="AB370" s="12">
        <v>585211.56000000006</v>
      </c>
      <c r="AC370" s="85">
        <v>101816.84</v>
      </c>
      <c r="AF370" s="85">
        <v>151995.24</v>
      </c>
      <c r="AG370" s="85">
        <v>234145.43</v>
      </c>
      <c r="AH370" s="85">
        <v>317653.28000000003</v>
      </c>
      <c r="AI370" s="12">
        <f>SUM(E370:AH370)</f>
        <v>5741744.0100000007</v>
      </c>
      <c r="AJ370" s="12">
        <f>AVERAGE(E370:AH370)</f>
        <v>318985.77833333338</v>
      </c>
    </row>
    <row r="371" spans="1:36">
      <c r="A371" s="12" t="s">
        <v>18</v>
      </c>
      <c r="E371" s="12">
        <v>-851004.75999999966</v>
      </c>
      <c r="F371" s="12">
        <v>-862738.21999999939</v>
      </c>
      <c r="G371" s="12">
        <v>-867451.18999999959</v>
      </c>
      <c r="H371" s="12">
        <v>-422264.18999999954</v>
      </c>
      <c r="K371" s="12">
        <v>-434053.56999999983</v>
      </c>
      <c r="L371" s="12">
        <v>-434192.58999999973</v>
      </c>
      <c r="O371" s="12">
        <v>-1015303.3599999998</v>
      </c>
      <c r="R371" s="12">
        <v>-1099226.2799999996</v>
      </c>
      <c r="S371" s="12">
        <v>-623454.89999999967</v>
      </c>
      <c r="T371" s="12">
        <v>-650548.57999999961</v>
      </c>
      <c r="U371" s="12">
        <v>-352976.43</v>
      </c>
      <c r="V371" s="12">
        <v>-357324.32</v>
      </c>
      <c r="Y371" s="12">
        <v>-365532.05</v>
      </c>
      <c r="AB371" s="12">
        <v>-957605.22000000009</v>
      </c>
      <c r="AC371" s="12">
        <v>-985490.54</v>
      </c>
      <c r="AF371" s="12">
        <v>-1079466.8499999999</v>
      </c>
      <c r="AG371" s="12">
        <v>-1063517.32</v>
      </c>
      <c r="AH371" s="12">
        <v>-498915.45000000019</v>
      </c>
      <c r="AI371" s="12">
        <f>SUM(E371:AH371)</f>
        <v>-12921065.819999997</v>
      </c>
      <c r="AJ371" s="12">
        <f>AVERAGE(E371:AH371)</f>
        <v>-717836.98999999976</v>
      </c>
    </row>
    <row r="372" spans="1:36">
      <c r="A372" t="s">
        <v>21</v>
      </c>
      <c r="E372" s="12">
        <v>0</v>
      </c>
      <c r="F372" s="12">
        <v>500000</v>
      </c>
      <c r="G372" s="12">
        <v>500000</v>
      </c>
      <c r="H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R372" s="12">
        <v>500000</v>
      </c>
      <c r="S372" s="96">
        <v>0</v>
      </c>
      <c r="T372" s="12">
        <v>0</v>
      </c>
      <c r="U372" s="12">
        <v>0</v>
      </c>
      <c r="V372" s="12">
        <v>0</v>
      </c>
      <c r="Z372" s="12">
        <v>0</v>
      </c>
      <c r="AA372" s="12">
        <v>0</v>
      </c>
      <c r="AB372" s="12">
        <v>0</v>
      </c>
      <c r="AC372" s="12">
        <v>500000</v>
      </c>
      <c r="AF372" s="12">
        <v>500000</v>
      </c>
      <c r="AG372" s="12">
        <v>500000</v>
      </c>
      <c r="AH372" s="12">
        <v>0</v>
      </c>
    </row>
    <row r="373" spans="1:36" ht="15.75" thickBot="1">
      <c r="A373" t="s">
        <v>122</v>
      </c>
      <c r="E373" s="17">
        <f>SUM(E370:E372)</f>
        <v>-271640.55999999971</v>
      </c>
      <c r="F373" s="17">
        <f t="shared" ref="F373:AJ373" si="45">SUM(F370:F372)</f>
        <v>-225252.77999999933</v>
      </c>
      <c r="G373" s="17">
        <f t="shared" si="45"/>
        <v>-171508.65999999957</v>
      </c>
      <c r="H373" s="17">
        <f t="shared" si="45"/>
        <v>-185433.62999999954</v>
      </c>
      <c r="I373" s="17">
        <f t="shared" si="45"/>
        <v>0</v>
      </c>
      <c r="J373" s="17">
        <f t="shared" si="45"/>
        <v>0</v>
      </c>
      <c r="K373" s="17">
        <f t="shared" si="45"/>
        <v>-104544.83999999985</v>
      </c>
      <c r="L373" s="17">
        <f t="shared" si="45"/>
        <v>-44241.509999999718</v>
      </c>
      <c r="M373" s="17">
        <f t="shared" si="45"/>
        <v>0</v>
      </c>
      <c r="N373" s="17">
        <f t="shared" si="45"/>
        <v>0</v>
      </c>
      <c r="O373" s="17">
        <f t="shared" si="45"/>
        <v>-469375.91999999981</v>
      </c>
      <c r="P373" s="17">
        <f t="shared" si="45"/>
        <v>0</v>
      </c>
      <c r="Q373" s="17">
        <f t="shared" si="45"/>
        <v>0</v>
      </c>
      <c r="R373" s="17">
        <f t="shared" si="45"/>
        <v>-495987.07999999961</v>
      </c>
      <c r="S373" s="17">
        <f t="shared" si="45"/>
        <v>-454171.69999999966</v>
      </c>
      <c r="T373" s="17">
        <f t="shared" si="45"/>
        <v>-346780.8199999996</v>
      </c>
      <c r="U373" s="17">
        <f t="shared" si="45"/>
        <v>48164.609999999986</v>
      </c>
      <c r="V373" s="17">
        <f t="shared" si="45"/>
        <v>76794.270000000019</v>
      </c>
      <c r="W373" s="17">
        <f t="shared" si="45"/>
        <v>0</v>
      </c>
      <c r="X373" s="17">
        <f t="shared" si="45"/>
        <v>0</v>
      </c>
      <c r="Y373" s="17">
        <f t="shared" si="45"/>
        <v>158829.84000000003</v>
      </c>
      <c r="Z373" s="17">
        <f t="shared" si="45"/>
        <v>0</v>
      </c>
      <c r="AA373" s="17">
        <f t="shared" si="45"/>
        <v>0</v>
      </c>
      <c r="AB373" s="17">
        <f t="shared" si="45"/>
        <v>-372393.66000000003</v>
      </c>
      <c r="AC373" s="17">
        <f t="shared" si="45"/>
        <v>-383673.70000000007</v>
      </c>
      <c r="AD373" s="17">
        <f t="shared" si="45"/>
        <v>0</v>
      </c>
      <c r="AE373" s="17">
        <f t="shared" si="45"/>
        <v>0</v>
      </c>
      <c r="AF373" s="17">
        <f t="shared" si="45"/>
        <v>-427471.60999999987</v>
      </c>
      <c r="AG373" s="17">
        <f t="shared" si="45"/>
        <v>-329371.89000000013</v>
      </c>
      <c r="AH373" s="17">
        <f t="shared" si="45"/>
        <v>-181262.17000000016</v>
      </c>
      <c r="AI373" s="17">
        <f t="shared" si="45"/>
        <v>-7179321.8099999959</v>
      </c>
      <c r="AJ373" s="17">
        <f t="shared" si="45"/>
        <v>-398851.21166666638</v>
      </c>
    </row>
    <row r="374" spans="1:36" ht="15.75" thickTop="1"/>
    <row r="376" spans="1:36">
      <c r="A376" s="18" t="s">
        <v>48</v>
      </c>
      <c r="E376" s="12">
        <f>+E370-AI348</f>
        <v>64040.259999999951</v>
      </c>
      <c r="F376" s="12">
        <f>+F370-E370+500000</f>
        <v>58121.240000000049</v>
      </c>
      <c r="G376" s="12">
        <f>+G370-F370</f>
        <v>58457.09</v>
      </c>
      <c r="H376" s="12">
        <f>+H370-G370</f>
        <v>40888.03</v>
      </c>
      <c r="K376" s="12">
        <f>+K370-H370</f>
        <v>92678.169999999984</v>
      </c>
      <c r="L376" s="12">
        <f>+L370-K370</f>
        <v>60442.350000000035</v>
      </c>
      <c r="O376" s="12">
        <f>+O370-L370</f>
        <v>155976.35999999993</v>
      </c>
      <c r="R376" s="12">
        <f>+R370-O370+500000</f>
        <v>57311.760000000068</v>
      </c>
      <c r="S376" s="12">
        <f>+S370-R370</f>
        <v>66044.000000000015</v>
      </c>
      <c r="T376" s="12">
        <f>+T370-S370</f>
        <v>134484.56</v>
      </c>
      <c r="U376" s="12">
        <f>U370-T370</f>
        <v>97373.27999999997</v>
      </c>
      <c r="V376" s="12">
        <f>V370-U370</f>
        <v>32977.550000000047</v>
      </c>
      <c r="Y376" s="12">
        <f>Y370-V370</f>
        <v>90243.299999999988</v>
      </c>
      <c r="AB376" s="12">
        <f>+AB370-Y370</f>
        <v>60849.670000000042</v>
      </c>
      <c r="AC376" s="12">
        <f>+AC370-AB370+500000</f>
        <v>16605.279999999912</v>
      </c>
      <c r="AF376" s="12">
        <f>+AF370-AC370</f>
        <v>50178.399999999994</v>
      </c>
      <c r="AG376" s="12">
        <f>+AG370-AF370</f>
        <v>82150.19</v>
      </c>
      <c r="AH376" s="12">
        <f>+AH370-AG370</f>
        <v>83507.850000000035</v>
      </c>
    </row>
    <row r="377" spans="1:36">
      <c r="A377" s="18" t="s">
        <v>49</v>
      </c>
      <c r="E377" s="12">
        <f>+E371-AI349</f>
        <v>30803.269999999786</v>
      </c>
      <c r="F377" s="12">
        <f>+F371-E371</f>
        <v>-11733.45999999973</v>
      </c>
      <c r="G377" s="12">
        <f>+G371-F371</f>
        <v>-4712.9700000002049</v>
      </c>
      <c r="H377" s="12">
        <f>+H371-G371-500000</f>
        <v>-54812.999999999942</v>
      </c>
      <c r="K377" s="12">
        <f>+K371-H371</f>
        <v>-11789.380000000296</v>
      </c>
      <c r="L377" s="12">
        <f>+L371-K371</f>
        <v>-139.01999999990221</v>
      </c>
      <c r="O377" s="12">
        <f>+O371-L371</f>
        <v>-581110.77</v>
      </c>
      <c r="R377" s="12">
        <f>+R371-O371</f>
        <v>-83922.919999999809</v>
      </c>
      <c r="S377" s="12">
        <f>+S371-R371-500000</f>
        <v>-24228.620000000112</v>
      </c>
      <c r="T377" s="12">
        <f>+T371-S371</f>
        <v>-27093.679999999935</v>
      </c>
      <c r="U377" s="12">
        <f>U371-T371</f>
        <v>297572.14999999962</v>
      </c>
      <c r="V377" s="12">
        <f>V371-U371</f>
        <v>-4347.890000000014</v>
      </c>
      <c r="Y377" s="12">
        <f>Y371-V371</f>
        <v>-8207.7299999999814</v>
      </c>
      <c r="AB377" s="12">
        <f>+AB371-Y371</f>
        <v>-592073.17000000016</v>
      </c>
      <c r="AC377" s="12">
        <f>+AC371-AB371</f>
        <v>-27885.319999999949</v>
      </c>
      <c r="AF377" s="12">
        <f>+AF371-AC371</f>
        <v>-93976.309999999823</v>
      </c>
      <c r="AG377" s="12">
        <f>+AG371-AF371</f>
        <v>15949.529999999795</v>
      </c>
      <c r="AH377" s="12">
        <f>+AH371-AG371-500000</f>
        <v>64601.869999999879</v>
      </c>
    </row>
    <row r="379" spans="1:36">
      <c r="O379" s="12" t="s">
        <v>151</v>
      </c>
      <c r="AB379" s="12" t="s">
        <v>152</v>
      </c>
      <c r="AG379" s="12" t="s">
        <v>153</v>
      </c>
    </row>
    <row r="382" spans="1:36">
      <c r="V382" s="12" t="s">
        <v>162</v>
      </c>
      <c r="Y382" s="12" t="s">
        <v>162</v>
      </c>
      <c r="Z382" s="12" t="s">
        <v>110</v>
      </c>
      <c r="AA382" s="12" t="s">
        <v>110</v>
      </c>
      <c r="AB382" s="12" t="s">
        <v>110</v>
      </c>
      <c r="AC382" s="12" t="s">
        <v>110</v>
      </c>
      <c r="AD382" s="12" t="s">
        <v>110</v>
      </c>
      <c r="AE382" s="12" t="s">
        <v>110</v>
      </c>
      <c r="AF382" s="12" t="s">
        <v>110</v>
      </c>
    </row>
    <row r="383" spans="1:36">
      <c r="E383" s="28">
        <v>3</v>
      </c>
      <c r="F383" s="28">
        <v>4</v>
      </c>
      <c r="G383" s="28">
        <v>5</v>
      </c>
      <c r="H383" s="28">
        <v>6</v>
      </c>
      <c r="I383" s="28">
        <v>5</v>
      </c>
      <c r="J383" s="28">
        <v>10</v>
      </c>
      <c r="K383" s="28">
        <v>7</v>
      </c>
      <c r="L383" s="28">
        <v>10</v>
      </c>
      <c r="M383" s="28">
        <v>11</v>
      </c>
      <c r="N383" s="47">
        <v>12</v>
      </c>
      <c r="O383" s="28">
        <v>13</v>
      </c>
      <c r="P383" s="28">
        <v>9</v>
      </c>
      <c r="Q383" s="28">
        <v>10</v>
      </c>
      <c r="R383" s="28">
        <v>14</v>
      </c>
      <c r="S383" s="28">
        <v>17</v>
      </c>
      <c r="T383" s="28">
        <v>18</v>
      </c>
      <c r="U383" s="47">
        <v>19</v>
      </c>
      <c r="V383" s="28">
        <v>20</v>
      </c>
      <c r="W383" s="28">
        <v>9</v>
      </c>
      <c r="X383" s="28">
        <v>10</v>
      </c>
      <c r="Y383" s="28">
        <v>21</v>
      </c>
      <c r="Z383" s="28">
        <v>24</v>
      </c>
      <c r="AA383" s="28">
        <v>25</v>
      </c>
      <c r="AB383" s="47">
        <v>26</v>
      </c>
      <c r="AC383" s="28">
        <v>27</v>
      </c>
      <c r="AD383" s="28">
        <v>9</v>
      </c>
      <c r="AE383" s="28">
        <v>10</v>
      </c>
      <c r="AF383" s="28">
        <v>28</v>
      </c>
      <c r="AG383" s="28">
        <v>31</v>
      </c>
      <c r="AH383" s="19" t="s">
        <v>10</v>
      </c>
      <c r="AI383" s="19" t="s">
        <v>12</v>
      </c>
    </row>
    <row r="384" spans="1:36">
      <c r="A384" s="18" t="s">
        <v>45</v>
      </c>
      <c r="B384" s="18">
        <v>2012</v>
      </c>
      <c r="E384" s="49" t="s">
        <v>3</v>
      </c>
      <c r="F384" s="49" t="s">
        <v>4</v>
      </c>
      <c r="G384" s="49" t="s">
        <v>5</v>
      </c>
      <c r="H384" s="49" t="s">
        <v>22</v>
      </c>
      <c r="I384" s="49" t="s">
        <v>5</v>
      </c>
      <c r="J384" s="49" t="s">
        <v>22</v>
      </c>
      <c r="K384" s="49" t="s">
        <v>6</v>
      </c>
      <c r="L384" s="49" t="s">
        <v>3</v>
      </c>
      <c r="M384" s="49" t="s">
        <v>4</v>
      </c>
      <c r="N384" s="49" t="s">
        <v>5</v>
      </c>
      <c r="O384" s="49" t="s">
        <v>22</v>
      </c>
      <c r="P384" s="49" t="s">
        <v>5</v>
      </c>
      <c r="Q384" s="49" t="s">
        <v>22</v>
      </c>
      <c r="R384" s="49" t="s">
        <v>6</v>
      </c>
      <c r="S384" s="49" t="s">
        <v>3</v>
      </c>
      <c r="T384" s="49" t="s">
        <v>4</v>
      </c>
      <c r="U384" s="49" t="s">
        <v>5</v>
      </c>
      <c r="V384" s="49" t="s">
        <v>22</v>
      </c>
      <c r="W384" s="49" t="s">
        <v>5</v>
      </c>
      <c r="X384" s="49" t="s">
        <v>22</v>
      </c>
      <c r="Y384" s="49" t="s">
        <v>6</v>
      </c>
      <c r="Z384" s="49" t="s">
        <v>3</v>
      </c>
      <c r="AA384" s="49" t="s">
        <v>4</v>
      </c>
      <c r="AB384" s="49" t="s">
        <v>5</v>
      </c>
      <c r="AC384" s="49" t="s">
        <v>22</v>
      </c>
      <c r="AD384" s="49" t="s">
        <v>5</v>
      </c>
      <c r="AE384" s="49" t="s">
        <v>22</v>
      </c>
      <c r="AF384" s="49" t="s">
        <v>6</v>
      </c>
      <c r="AG384" s="49" t="s">
        <v>3</v>
      </c>
      <c r="AH384" s="19" t="s">
        <v>11</v>
      </c>
      <c r="AI384" s="19" t="s">
        <v>9</v>
      </c>
    </row>
    <row r="385" spans="1:36">
      <c r="A385" s="12" t="s">
        <v>47</v>
      </c>
      <c r="E385" s="89">
        <v>386753.4</v>
      </c>
      <c r="F385" s="86">
        <v>77876.990000000005</v>
      </c>
      <c r="G385" s="86">
        <v>130621.39</v>
      </c>
      <c r="H385" s="86">
        <v>169468.46</v>
      </c>
      <c r="I385" s="89"/>
      <c r="J385" s="89"/>
      <c r="K385" s="89">
        <v>319025.44</v>
      </c>
      <c r="L385" s="86">
        <v>347881.24</v>
      </c>
      <c r="M385" s="89">
        <v>387467.19</v>
      </c>
      <c r="N385" s="89">
        <v>451919.13</v>
      </c>
      <c r="O385" s="86">
        <v>115754.49</v>
      </c>
      <c r="P385" s="89"/>
      <c r="Q385" s="89"/>
      <c r="R385" s="89">
        <v>212528.74</v>
      </c>
      <c r="S385" s="85">
        <v>305883.23</v>
      </c>
      <c r="T385" s="85">
        <v>312740.90999999997</v>
      </c>
      <c r="U385" s="85">
        <v>36792.99</v>
      </c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91">
        <f>SUM(E385:AG385)</f>
        <v>3254713.6</v>
      </c>
      <c r="AI385" s="91">
        <f>AVERAGE(E385:AG385)</f>
        <v>250362.58461538464</v>
      </c>
    </row>
    <row r="386" spans="1:36">
      <c r="A386" s="12" t="s">
        <v>18</v>
      </c>
      <c r="E386" s="12">
        <v>-512468.00999999989</v>
      </c>
      <c r="F386" s="12">
        <v>-529778.88999999966</v>
      </c>
      <c r="G386" s="12">
        <v>-227526.56000000043</v>
      </c>
      <c r="H386" s="12">
        <v>-322799.79000000027</v>
      </c>
      <c r="K386" s="12">
        <v>-298377.71000000002</v>
      </c>
      <c r="L386" s="12">
        <v>-933247.85000000044</v>
      </c>
      <c r="M386" s="12">
        <v>-936249.30000000028</v>
      </c>
      <c r="N386" s="12">
        <v>-946939.96</v>
      </c>
      <c r="O386" s="12">
        <v>-1066728.3799999994</v>
      </c>
      <c r="R386" s="12">
        <v>-914956.67999999982</v>
      </c>
      <c r="S386" s="12">
        <v>-574855.94999999984</v>
      </c>
      <c r="T386" s="12">
        <v>-611564.18000000017</v>
      </c>
      <c r="U386" s="12">
        <v>-677981.96999999962</v>
      </c>
      <c r="AH386" s="12">
        <f>SUM(E386:AG386)</f>
        <v>-8553475.2299999986</v>
      </c>
      <c r="AI386" s="12">
        <f>AVERAGE(E386:AG386)</f>
        <v>-657959.63307692297</v>
      </c>
    </row>
    <row r="387" spans="1:36">
      <c r="A387" t="s">
        <v>21</v>
      </c>
      <c r="E387" s="12">
        <v>0</v>
      </c>
      <c r="F387" s="12">
        <v>350000</v>
      </c>
      <c r="G387" s="12">
        <v>0</v>
      </c>
      <c r="H387" s="12">
        <v>0</v>
      </c>
      <c r="O387" s="12">
        <v>400000</v>
      </c>
      <c r="R387" s="12">
        <v>400000</v>
      </c>
      <c r="S387" s="12">
        <v>0</v>
      </c>
      <c r="T387" s="12">
        <v>0</v>
      </c>
      <c r="U387" s="12">
        <v>300000</v>
      </c>
    </row>
    <row r="388" spans="1:36" ht="15.75" thickBot="1">
      <c r="A388" t="s">
        <v>122</v>
      </c>
      <c r="E388" s="17">
        <f>SUM(E385:E387)</f>
        <v>-125714.60999999987</v>
      </c>
      <c r="F388" s="17">
        <f t="shared" ref="F388:AI388" si="46">SUM(F385:F387)</f>
        <v>-101901.89999999967</v>
      </c>
      <c r="G388" s="17">
        <f t="shared" si="46"/>
        <v>-96905.170000000435</v>
      </c>
      <c r="H388" s="17">
        <f t="shared" si="46"/>
        <v>-153331.33000000028</v>
      </c>
      <c r="I388" s="17">
        <f t="shared" si="46"/>
        <v>0</v>
      </c>
      <c r="J388" s="17">
        <f t="shared" si="46"/>
        <v>0</v>
      </c>
      <c r="K388" s="17">
        <f t="shared" si="46"/>
        <v>20647.729999999981</v>
      </c>
      <c r="L388" s="17">
        <f t="shared" si="46"/>
        <v>-585366.61000000045</v>
      </c>
      <c r="M388" s="17">
        <f t="shared" si="46"/>
        <v>-548782.11000000034</v>
      </c>
      <c r="N388" s="17">
        <f t="shared" si="46"/>
        <v>-495020.82999999996</v>
      </c>
      <c r="O388" s="17">
        <f t="shared" si="46"/>
        <v>-550973.88999999943</v>
      </c>
      <c r="P388" s="17">
        <f t="shared" si="46"/>
        <v>0</v>
      </c>
      <c r="Q388" s="17">
        <f t="shared" si="46"/>
        <v>0</v>
      </c>
      <c r="R388" s="17">
        <f t="shared" si="46"/>
        <v>-302427.93999999983</v>
      </c>
      <c r="S388" s="17">
        <f t="shared" si="46"/>
        <v>-268972.71999999986</v>
      </c>
      <c r="T388" s="17">
        <f t="shared" si="46"/>
        <v>-298823.27000000019</v>
      </c>
      <c r="U388" s="17">
        <f t="shared" si="46"/>
        <v>-341188.97999999963</v>
      </c>
      <c r="V388" s="17">
        <f t="shared" si="46"/>
        <v>0</v>
      </c>
      <c r="W388" s="17">
        <f t="shared" si="46"/>
        <v>0</v>
      </c>
      <c r="X388" s="17">
        <f t="shared" si="46"/>
        <v>0</v>
      </c>
      <c r="Y388" s="17">
        <f t="shared" si="46"/>
        <v>0</v>
      </c>
      <c r="Z388" s="17">
        <f t="shared" si="46"/>
        <v>0</v>
      </c>
      <c r="AA388" s="17">
        <f t="shared" si="46"/>
        <v>0</v>
      </c>
      <c r="AB388" s="17">
        <f t="shared" si="46"/>
        <v>0</v>
      </c>
      <c r="AC388" s="17">
        <f t="shared" si="46"/>
        <v>0</v>
      </c>
      <c r="AD388" s="17">
        <f t="shared" si="46"/>
        <v>0</v>
      </c>
      <c r="AE388" s="17">
        <f t="shared" si="46"/>
        <v>0</v>
      </c>
      <c r="AF388" s="17">
        <f t="shared" si="46"/>
        <v>0</v>
      </c>
      <c r="AG388" s="17">
        <f t="shared" si="46"/>
        <v>0</v>
      </c>
      <c r="AH388" s="17">
        <f t="shared" si="46"/>
        <v>-5298761.629999999</v>
      </c>
      <c r="AI388" s="17">
        <f t="shared" si="46"/>
        <v>-407597.04846153833</v>
      </c>
    </row>
    <row r="389" spans="1:36" ht="15.75" thickTop="1"/>
    <row r="391" spans="1:36">
      <c r="A391" s="18" t="s">
        <v>48</v>
      </c>
      <c r="E391" s="12">
        <f>+E385-AH370</f>
        <v>69100.12</v>
      </c>
      <c r="F391" s="12">
        <f>+F385-E385+350000</f>
        <v>41123.589999999967</v>
      </c>
      <c r="G391" s="12">
        <f>+G385-F385</f>
        <v>52744.399999999994</v>
      </c>
      <c r="H391" s="12">
        <f>+H385-G385</f>
        <v>38847.069999999992</v>
      </c>
      <c r="K391" s="12">
        <f>+K385-H385</f>
        <v>149556.98000000001</v>
      </c>
      <c r="L391" s="12">
        <f t="shared" ref="L391:N392" si="47">+L385-K385</f>
        <v>28855.799999999988</v>
      </c>
      <c r="M391" s="91">
        <f t="shared" si="47"/>
        <v>39585.950000000012</v>
      </c>
      <c r="N391" s="91">
        <f t="shared" si="47"/>
        <v>64451.94</v>
      </c>
      <c r="O391" s="91">
        <f>+O385-N385+400000</f>
        <v>63835.359999999986</v>
      </c>
      <c r="R391" s="91">
        <f>+R385-O385</f>
        <v>96774.249999999985</v>
      </c>
      <c r="S391" s="91">
        <f>+S385-R385</f>
        <v>93354.489999999991</v>
      </c>
      <c r="T391" s="12">
        <f>+T385-S385</f>
        <v>6857.679999999993</v>
      </c>
      <c r="U391" s="12">
        <f>+U385-T385+300000</f>
        <v>24052.080000000016</v>
      </c>
    </row>
    <row r="392" spans="1:36">
      <c r="A392" s="18" t="s">
        <v>49</v>
      </c>
      <c r="E392" s="16">
        <f>+E386-AH371</f>
        <v>-13552.559999999707</v>
      </c>
      <c r="F392" s="16">
        <f>+F386-E386</f>
        <v>-17310.879999999772</v>
      </c>
      <c r="G392" s="16">
        <f>+G386-F386-350000</f>
        <v>-47747.67000000074</v>
      </c>
      <c r="H392" s="16">
        <f>+H386-G386</f>
        <v>-95273.229999999836</v>
      </c>
      <c r="I392" s="16"/>
      <c r="J392" s="16"/>
      <c r="K392" s="16">
        <f>+K386-H386</f>
        <v>24422.080000000249</v>
      </c>
      <c r="L392" s="16">
        <f t="shared" si="47"/>
        <v>-634870.14000000036</v>
      </c>
      <c r="M392" s="16">
        <f t="shared" si="47"/>
        <v>-3001.449999999837</v>
      </c>
      <c r="N392" s="16">
        <f t="shared" si="47"/>
        <v>-10690.659999999683</v>
      </c>
      <c r="O392" s="16">
        <f>+O386-N386</f>
        <v>-119788.41999999946</v>
      </c>
      <c r="P392" s="16"/>
      <c r="Q392" s="16"/>
      <c r="R392" s="16">
        <f>+R386-O386</f>
        <v>151771.6999999996</v>
      </c>
      <c r="S392" s="16">
        <f>+S386-R386-400000</f>
        <v>-59899.270000000019</v>
      </c>
      <c r="T392" s="16">
        <f>+T386-S386</f>
        <v>-36708.230000000331</v>
      </c>
      <c r="U392" s="16">
        <f>+U386-T386</f>
        <v>-66417.789999999455</v>
      </c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</row>
    <row r="393" spans="1:36">
      <c r="A393" t="s">
        <v>160</v>
      </c>
      <c r="E393" s="12">
        <f>SUM(E391:E392)</f>
        <v>55547.560000000289</v>
      </c>
      <c r="F393" s="12">
        <f t="shared" ref="F393:AG393" si="48">SUM(F391:F392)</f>
        <v>23812.710000000196</v>
      </c>
      <c r="G393" s="12">
        <f t="shared" si="48"/>
        <v>4996.7299999992538</v>
      </c>
      <c r="H393" s="12">
        <f t="shared" si="48"/>
        <v>-56426.159999999843</v>
      </c>
      <c r="I393" s="12">
        <f t="shared" si="48"/>
        <v>0</v>
      </c>
      <c r="J393" s="12">
        <f t="shared" si="48"/>
        <v>0</v>
      </c>
      <c r="K393" s="12">
        <f t="shared" si="48"/>
        <v>173979.06000000026</v>
      </c>
      <c r="L393" s="12">
        <f t="shared" si="48"/>
        <v>-606014.34000000032</v>
      </c>
      <c r="M393" s="12">
        <f t="shared" si="48"/>
        <v>36584.500000000175</v>
      </c>
      <c r="N393" s="12">
        <f t="shared" si="48"/>
        <v>53761.280000000319</v>
      </c>
      <c r="O393" s="12">
        <f t="shared" si="48"/>
        <v>-55953.059999999474</v>
      </c>
      <c r="P393" s="12">
        <f t="shared" si="48"/>
        <v>0</v>
      </c>
      <c r="Q393" s="12">
        <f t="shared" si="48"/>
        <v>0</v>
      </c>
      <c r="R393" s="12">
        <f t="shared" si="48"/>
        <v>248545.9499999996</v>
      </c>
      <c r="S393" s="12">
        <f t="shared" si="48"/>
        <v>33455.219999999972</v>
      </c>
      <c r="T393" s="12">
        <f t="shared" si="48"/>
        <v>-29850.550000000338</v>
      </c>
      <c r="U393" s="12">
        <f t="shared" si="48"/>
        <v>-42365.709999999439</v>
      </c>
      <c r="V393" s="12">
        <f t="shared" si="48"/>
        <v>0</v>
      </c>
      <c r="W393" s="12">
        <f t="shared" si="48"/>
        <v>0</v>
      </c>
      <c r="X393" s="12">
        <f t="shared" si="48"/>
        <v>0</v>
      </c>
      <c r="Y393" s="12">
        <f t="shared" si="48"/>
        <v>0</v>
      </c>
      <c r="Z393" s="12">
        <f t="shared" si="48"/>
        <v>0</v>
      </c>
      <c r="AA393" s="12">
        <f t="shared" si="48"/>
        <v>0</v>
      </c>
      <c r="AB393" s="12">
        <f t="shared" si="48"/>
        <v>0</v>
      </c>
      <c r="AC393" s="12">
        <f t="shared" si="48"/>
        <v>0</v>
      </c>
      <c r="AD393" s="12">
        <f t="shared" si="48"/>
        <v>0</v>
      </c>
      <c r="AE393" s="12">
        <f t="shared" si="48"/>
        <v>0</v>
      </c>
      <c r="AF393" s="12">
        <f t="shared" si="48"/>
        <v>0</v>
      </c>
      <c r="AG393" s="12">
        <f t="shared" si="48"/>
        <v>0</v>
      </c>
    </row>
    <row r="395" spans="1:36">
      <c r="H395" s="12" t="s">
        <v>154</v>
      </c>
      <c r="K395" s="12" t="s">
        <v>96</v>
      </c>
      <c r="L395" s="12" t="s">
        <v>156</v>
      </c>
      <c r="O395" s="16" t="s">
        <v>161</v>
      </c>
    </row>
    <row r="396" spans="1:36">
      <c r="H396" s="12" t="s">
        <v>155</v>
      </c>
      <c r="O396" s="12" t="s">
        <v>157</v>
      </c>
      <c r="R396" s="12" t="s">
        <v>59</v>
      </c>
    </row>
    <row r="397" spans="1:36">
      <c r="O397" s="12" t="s">
        <v>158</v>
      </c>
    </row>
    <row r="398" spans="1:36">
      <c r="O398" s="12" t="s">
        <v>159</v>
      </c>
    </row>
    <row r="400" spans="1:36">
      <c r="V400" s="12" t="s">
        <v>110</v>
      </c>
      <c r="AI400"/>
      <c r="AJ400"/>
    </row>
    <row r="401" spans="1:36">
      <c r="E401" s="28">
        <v>2</v>
      </c>
      <c r="F401" s="28">
        <v>3</v>
      </c>
      <c r="G401" s="28">
        <v>4</v>
      </c>
      <c r="H401" s="28">
        <v>7</v>
      </c>
      <c r="I401" s="28">
        <v>5</v>
      </c>
      <c r="J401" s="28">
        <v>10</v>
      </c>
      <c r="K401" s="28">
        <v>8</v>
      </c>
      <c r="L401" s="28">
        <v>9</v>
      </c>
      <c r="M401" s="28">
        <v>10</v>
      </c>
      <c r="N401" s="28">
        <v>11</v>
      </c>
      <c r="O401" s="28">
        <v>14</v>
      </c>
      <c r="P401" s="28">
        <v>5</v>
      </c>
      <c r="Q401" s="28">
        <v>10</v>
      </c>
      <c r="R401" s="28">
        <v>15</v>
      </c>
      <c r="S401" s="28">
        <v>16</v>
      </c>
      <c r="T401" s="28">
        <v>17</v>
      </c>
      <c r="U401" s="28">
        <v>18</v>
      </c>
      <c r="V401" s="28">
        <v>21</v>
      </c>
      <c r="W401" s="28">
        <v>9</v>
      </c>
      <c r="X401" s="28">
        <v>10</v>
      </c>
      <c r="Y401" s="28">
        <v>22</v>
      </c>
      <c r="Z401" s="28">
        <v>23</v>
      </c>
      <c r="AA401" s="28">
        <v>24</v>
      </c>
      <c r="AB401" s="28">
        <v>25</v>
      </c>
      <c r="AC401" s="28">
        <v>28</v>
      </c>
      <c r="AD401" s="28">
        <v>9</v>
      </c>
      <c r="AE401" s="28">
        <v>10</v>
      </c>
      <c r="AF401" s="28">
        <v>29</v>
      </c>
      <c r="AG401" s="28">
        <v>30</v>
      </c>
      <c r="AH401" s="28">
        <v>31</v>
      </c>
      <c r="AI401" s="19" t="s">
        <v>10</v>
      </c>
      <c r="AJ401" s="19" t="s">
        <v>12</v>
      </c>
    </row>
    <row r="402" spans="1:36">
      <c r="A402" s="18" t="s">
        <v>46</v>
      </c>
      <c r="B402" s="18">
        <v>2013</v>
      </c>
      <c r="E402" s="49" t="s">
        <v>5</v>
      </c>
      <c r="F402" s="49" t="s">
        <v>22</v>
      </c>
      <c r="G402" s="49" t="s">
        <v>6</v>
      </c>
      <c r="H402" s="49" t="s">
        <v>3</v>
      </c>
      <c r="I402" s="49" t="s">
        <v>4</v>
      </c>
      <c r="J402" s="49" t="s">
        <v>5</v>
      </c>
      <c r="K402" s="49" t="s">
        <v>4</v>
      </c>
      <c r="L402" s="49" t="s">
        <v>5</v>
      </c>
      <c r="M402" s="49" t="s">
        <v>22</v>
      </c>
      <c r="N402" s="49" t="s">
        <v>6</v>
      </c>
      <c r="O402" s="49" t="s">
        <v>3</v>
      </c>
      <c r="P402" s="49" t="s">
        <v>4</v>
      </c>
      <c r="Q402" s="49" t="s">
        <v>5</v>
      </c>
      <c r="R402" s="49" t="s">
        <v>4</v>
      </c>
      <c r="S402" s="49" t="s">
        <v>5</v>
      </c>
      <c r="T402" s="49" t="s">
        <v>22</v>
      </c>
      <c r="U402" s="49" t="s">
        <v>6</v>
      </c>
      <c r="V402" s="49" t="s">
        <v>3</v>
      </c>
      <c r="W402" s="49" t="s">
        <v>4</v>
      </c>
      <c r="X402" s="49" t="s">
        <v>5</v>
      </c>
      <c r="Y402" s="49" t="s">
        <v>4</v>
      </c>
      <c r="Z402" s="49" t="s">
        <v>5</v>
      </c>
      <c r="AA402" s="49" t="s">
        <v>22</v>
      </c>
      <c r="AB402" s="49" t="s">
        <v>6</v>
      </c>
      <c r="AC402" s="49" t="s">
        <v>3</v>
      </c>
      <c r="AD402" s="49" t="s">
        <v>4</v>
      </c>
      <c r="AE402" s="49" t="s">
        <v>5</v>
      </c>
      <c r="AF402" s="49" t="s">
        <v>4</v>
      </c>
      <c r="AG402" s="49" t="s">
        <v>5</v>
      </c>
      <c r="AH402" s="49" t="s">
        <v>22</v>
      </c>
      <c r="AI402" s="19" t="s">
        <v>11</v>
      </c>
      <c r="AJ402" s="19" t="s">
        <v>9</v>
      </c>
    </row>
    <row r="403" spans="1:36">
      <c r="A403" s="12" t="s">
        <v>47</v>
      </c>
      <c r="E403" s="85">
        <v>357721.12</v>
      </c>
      <c r="F403" s="85">
        <v>350682.7</v>
      </c>
      <c r="G403" s="85">
        <v>483074.71</v>
      </c>
      <c r="H403" s="85">
        <v>527485.55000000005</v>
      </c>
      <c r="K403" s="85">
        <v>587089.39</v>
      </c>
      <c r="L403" s="85">
        <v>84857.1</v>
      </c>
      <c r="M403" s="85">
        <v>181707.01</v>
      </c>
      <c r="N403" s="85">
        <v>222399.58</v>
      </c>
      <c r="O403" s="12">
        <v>302110.15999999997</v>
      </c>
      <c r="R403" s="12">
        <v>362356.49</v>
      </c>
      <c r="S403" s="12">
        <v>106050.42</v>
      </c>
      <c r="T403" s="12">
        <v>230843.68</v>
      </c>
      <c r="U403" s="12">
        <v>280248.64</v>
      </c>
      <c r="Y403" s="12">
        <v>347704.95</v>
      </c>
      <c r="Z403" s="12">
        <v>409147.11</v>
      </c>
      <c r="AA403" s="12">
        <v>116488.57</v>
      </c>
      <c r="AB403" s="12">
        <v>251574.9</v>
      </c>
      <c r="AC403" s="12">
        <v>307197.08</v>
      </c>
      <c r="AF403" s="12">
        <v>351530.1</v>
      </c>
      <c r="AG403" s="12">
        <v>412381.82</v>
      </c>
      <c r="AH403" s="12">
        <v>109445.67</v>
      </c>
      <c r="AI403" s="91">
        <f>SUM(E403:AH403)</f>
        <v>6382096.7500000019</v>
      </c>
      <c r="AJ403" s="91">
        <f>AVERAGE(E403:AH403)</f>
        <v>303909.36904761911</v>
      </c>
    </row>
    <row r="404" spans="1:36">
      <c r="A404" s="12" t="s">
        <v>18</v>
      </c>
      <c r="E404" s="12">
        <v>-990755.6999999996</v>
      </c>
      <c r="F404" s="12">
        <v>-1002506.7699999999</v>
      </c>
      <c r="G404" s="12">
        <v>-1005666.8800000001</v>
      </c>
      <c r="H404" s="12">
        <v>-1593983.74</v>
      </c>
      <c r="K404" s="12">
        <v>-1594370.01</v>
      </c>
      <c r="L404" s="12">
        <v>-1664680.7400000009</v>
      </c>
      <c r="M404" s="12">
        <v>-1124783.1100000006</v>
      </c>
      <c r="N404" s="12">
        <v>-983813.95000000007</v>
      </c>
      <c r="O404" s="12">
        <v>-740683.9800000001</v>
      </c>
      <c r="R404" s="12">
        <v>-658245.25000000012</v>
      </c>
      <c r="S404" s="12">
        <v>-718042.61999999988</v>
      </c>
      <c r="T404" s="12">
        <v>-365818.94000000006</v>
      </c>
      <c r="U404" s="12">
        <v>-378136.86000000022</v>
      </c>
      <c r="Y404" s="12">
        <v>-928059.53999999969</v>
      </c>
      <c r="Z404" s="12">
        <v>-929187.66999999969</v>
      </c>
      <c r="AA404" s="12">
        <v>-933403.43999999971</v>
      </c>
      <c r="AB404" s="12">
        <v>-936194.8199999996</v>
      </c>
      <c r="AC404" s="12">
        <v>-918119.5199999999</v>
      </c>
      <c r="AF404" s="12">
        <v>-569073.62999999954</v>
      </c>
      <c r="AG404" s="12">
        <v>-663319.2799999998</v>
      </c>
      <c r="AH404" s="12">
        <v>-666827.09999999986</v>
      </c>
      <c r="AI404" s="12">
        <f>SUM(E404:AH404)</f>
        <v>-19365673.550000001</v>
      </c>
      <c r="AJ404" s="12">
        <f>AVERAGE(E404:AH404)</f>
        <v>-922174.93095238099</v>
      </c>
    </row>
    <row r="405" spans="1:36">
      <c r="A405" t="s">
        <v>21</v>
      </c>
      <c r="E405" s="16">
        <v>0</v>
      </c>
      <c r="F405" s="16">
        <v>0</v>
      </c>
      <c r="G405" s="16">
        <v>0</v>
      </c>
      <c r="H405" s="16">
        <v>0</v>
      </c>
      <c r="I405" s="16"/>
      <c r="J405" s="16"/>
      <c r="K405" s="16">
        <v>0</v>
      </c>
      <c r="L405" s="16">
        <v>550000</v>
      </c>
      <c r="M405" s="16">
        <v>0</v>
      </c>
      <c r="N405" s="16">
        <v>0</v>
      </c>
      <c r="O405" s="16">
        <v>0</v>
      </c>
      <c r="P405" s="16"/>
      <c r="Q405" s="16"/>
      <c r="R405" s="16">
        <v>0</v>
      </c>
      <c r="S405" s="16">
        <v>300000</v>
      </c>
      <c r="T405" s="16">
        <v>300000</v>
      </c>
      <c r="U405" s="16">
        <v>300000</v>
      </c>
      <c r="V405" s="16"/>
      <c r="W405" s="16"/>
      <c r="X405" s="16"/>
      <c r="Y405" s="16">
        <v>0</v>
      </c>
      <c r="Z405" s="16"/>
      <c r="AA405" s="16">
        <v>350000</v>
      </c>
      <c r="AB405" s="16">
        <v>350000</v>
      </c>
      <c r="AC405" s="16">
        <v>350000</v>
      </c>
      <c r="AD405" s="16"/>
      <c r="AE405" s="16"/>
      <c r="AF405" s="16">
        <v>0</v>
      </c>
      <c r="AG405" s="16">
        <v>0</v>
      </c>
      <c r="AH405" s="16">
        <v>350000</v>
      </c>
    </row>
    <row r="406" spans="1:36" ht="15.75" thickBot="1">
      <c r="A406" t="s">
        <v>122</v>
      </c>
      <c r="E406" s="12">
        <f>SUM(E403:E405)</f>
        <v>-633034.57999999961</v>
      </c>
      <c r="F406" s="12">
        <f t="shared" ref="F406:AJ406" si="49">SUM(F403:F405)</f>
        <v>-651824.06999999983</v>
      </c>
      <c r="G406" s="12">
        <f t="shared" si="49"/>
        <v>-522592.1700000001</v>
      </c>
      <c r="H406" s="12">
        <f t="shared" si="49"/>
        <v>-1066498.19</v>
      </c>
      <c r="I406" s="12">
        <f t="shared" si="49"/>
        <v>0</v>
      </c>
      <c r="J406" s="12">
        <f t="shared" si="49"/>
        <v>0</v>
      </c>
      <c r="K406" s="12">
        <f t="shared" si="49"/>
        <v>-1007280.62</v>
      </c>
      <c r="L406" s="12">
        <f t="shared" si="49"/>
        <v>-1029823.6400000008</v>
      </c>
      <c r="M406" s="12">
        <f t="shared" si="49"/>
        <v>-943076.10000000056</v>
      </c>
      <c r="N406" s="12">
        <f t="shared" si="49"/>
        <v>-761414.37000000011</v>
      </c>
      <c r="O406" s="12">
        <f t="shared" si="49"/>
        <v>-438573.82000000012</v>
      </c>
      <c r="P406" s="12">
        <f t="shared" si="49"/>
        <v>0</v>
      </c>
      <c r="Q406" s="12">
        <f t="shared" si="49"/>
        <v>0</v>
      </c>
      <c r="R406" s="12">
        <f t="shared" si="49"/>
        <v>-295888.76000000013</v>
      </c>
      <c r="S406" s="12">
        <f t="shared" si="49"/>
        <v>-311992.19999999984</v>
      </c>
      <c r="T406" s="12">
        <f t="shared" si="49"/>
        <v>165024.73999999993</v>
      </c>
      <c r="U406" s="12">
        <f t="shared" si="49"/>
        <v>202111.7799999998</v>
      </c>
      <c r="V406" s="12">
        <f t="shared" si="49"/>
        <v>0</v>
      </c>
      <c r="W406" s="12">
        <f t="shared" si="49"/>
        <v>0</v>
      </c>
      <c r="X406" s="12">
        <f t="shared" si="49"/>
        <v>0</v>
      </c>
      <c r="Y406" s="12">
        <f t="shared" si="49"/>
        <v>-580354.58999999962</v>
      </c>
      <c r="Z406" s="12">
        <f t="shared" si="49"/>
        <v>-520040.55999999971</v>
      </c>
      <c r="AA406" s="12">
        <f t="shared" si="49"/>
        <v>-466914.86999999965</v>
      </c>
      <c r="AB406" s="12">
        <f t="shared" si="49"/>
        <v>-334619.91999999958</v>
      </c>
      <c r="AC406" s="12">
        <f t="shared" si="49"/>
        <v>-260922.43999999994</v>
      </c>
      <c r="AD406" s="12">
        <f t="shared" si="49"/>
        <v>0</v>
      </c>
      <c r="AE406" s="12">
        <f t="shared" si="49"/>
        <v>0</v>
      </c>
      <c r="AF406" s="12">
        <f t="shared" si="49"/>
        <v>-217543.52999999956</v>
      </c>
      <c r="AG406" s="12">
        <f t="shared" si="49"/>
        <v>-250937.45999999979</v>
      </c>
      <c r="AH406" s="12">
        <f t="shared" si="49"/>
        <v>-207381.42999999982</v>
      </c>
      <c r="AI406" s="17">
        <f t="shared" si="49"/>
        <v>-12983576.799999999</v>
      </c>
      <c r="AJ406" s="17">
        <f t="shared" si="49"/>
        <v>-618265.56190476194</v>
      </c>
    </row>
    <row r="407" spans="1:36" ht="15.75" thickTop="1"/>
    <row r="409" spans="1:36">
      <c r="A409" s="18" t="s">
        <v>48</v>
      </c>
      <c r="F409" s="12">
        <f t="shared" ref="F409:H410" si="50">+F403-E403</f>
        <v>-7038.4199999999837</v>
      </c>
      <c r="G409" s="12">
        <f t="shared" si="50"/>
        <v>132392.01</v>
      </c>
      <c r="H409" s="12">
        <f t="shared" si="50"/>
        <v>44410.840000000026</v>
      </c>
      <c r="K409" s="12">
        <f>+K403-H403</f>
        <v>59603.839999999967</v>
      </c>
      <c r="L409" s="12">
        <f>+L403-K403+550000</f>
        <v>47767.709999999963</v>
      </c>
      <c r="M409" s="12">
        <f>+M403-L403</f>
        <v>96849.91</v>
      </c>
      <c r="N409" s="12">
        <f>+N403-M403</f>
        <v>40692.569999999978</v>
      </c>
      <c r="O409" s="12">
        <f>+O403-N403</f>
        <v>79710.579999999987</v>
      </c>
      <c r="R409" s="12">
        <f>+R403-O403</f>
        <v>60246.330000000016</v>
      </c>
      <c r="S409" s="12">
        <f>+S403-R403+300000</f>
        <v>43693.929999999993</v>
      </c>
      <c r="T409" s="12">
        <f>+T403-S403</f>
        <v>124793.26</v>
      </c>
      <c r="U409" s="12">
        <f>+U403-T403</f>
        <v>49404.960000000021</v>
      </c>
      <c r="Y409" s="12">
        <f>+Y403-U403</f>
        <v>67456.31</v>
      </c>
      <c r="Z409" s="12">
        <f>+Z403-Y403</f>
        <v>61442.159999999974</v>
      </c>
      <c r="AA409" s="12">
        <f>+AA403-Z403+350000</f>
        <v>57341.460000000021</v>
      </c>
      <c r="AB409" s="12">
        <f>+AB403-AA403</f>
        <v>135086.32999999999</v>
      </c>
      <c r="AC409" s="12">
        <f>+AC403-AB403</f>
        <v>55622.180000000022</v>
      </c>
      <c r="AF409" s="12">
        <f>+AF403-AC403</f>
        <v>44333.01999999996</v>
      </c>
      <c r="AG409" s="12">
        <f>+AG403-AF403</f>
        <v>60851.72000000003</v>
      </c>
      <c r="AH409" s="12">
        <f>+AH403-AG403+350000</f>
        <v>47063.849999999977</v>
      </c>
    </row>
    <row r="410" spans="1:36">
      <c r="A410" s="18" t="s">
        <v>49</v>
      </c>
      <c r="F410" s="16">
        <f t="shared" si="50"/>
        <v>-11751.070000000298</v>
      </c>
      <c r="G410" s="16">
        <f t="shared" si="50"/>
        <v>-3160.1100000002189</v>
      </c>
      <c r="H410" s="16">
        <f t="shared" si="50"/>
        <v>-588316.85999999987</v>
      </c>
      <c r="K410" s="16">
        <f>+K404-H404</f>
        <v>-386.27000000001863</v>
      </c>
      <c r="L410" s="16">
        <f>+L404-K404</f>
        <v>-70310.730000000913</v>
      </c>
      <c r="M410" s="16">
        <f>+M404-L404-550000</f>
        <v>-10102.369999999646</v>
      </c>
      <c r="N410" s="16">
        <f>+N404-M404</f>
        <v>140969.1600000005</v>
      </c>
      <c r="O410" s="16">
        <f>+O404-N404</f>
        <v>243129.96999999997</v>
      </c>
      <c r="P410" s="16"/>
      <c r="Q410" s="16"/>
      <c r="R410" s="16">
        <f>+R404-O404</f>
        <v>82438.729999999981</v>
      </c>
      <c r="S410" s="16">
        <f>+S404-R404</f>
        <v>-59797.369999999763</v>
      </c>
      <c r="T410" s="16">
        <f>+T404-S404</f>
        <v>352223.67999999982</v>
      </c>
      <c r="U410" s="16">
        <f>+U404-T404</f>
        <v>-12317.920000000158</v>
      </c>
      <c r="V410" s="16"/>
      <c r="W410" s="16"/>
      <c r="X410" s="16"/>
      <c r="Y410" s="16">
        <f>+Y404-U410</f>
        <v>-915741.61999999953</v>
      </c>
      <c r="Z410" s="16">
        <f>+Z404-Y404</f>
        <v>-1128.1300000000047</v>
      </c>
      <c r="AA410" s="16">
        <f>+AA404-Z404</f>
        <v>-4215.7700000000186</v>
      </c>
      <c r="AB410" s="16">
        <f>+AB404-AA404</f>
        <v>-2791.3799999998882</v>
      </c>
      <c r="AC410" s="16">
        <f>+AC404-AB404</f>
        <v>18075.299999999697</v>
      </c>
      <c r="AD410" s="16"/>
      <c r="AE410" s="16"/>
      <c r="AF410" s="16">
        <f>+AF404-AC404-350000</f>
        <v>-954.10999999963678</v>
      </c>
      <c r="AG410" s="16">
        <f>+AG404-AF404</f>
        <v>-94245.650000000256</v>
      </c>
      <c r="AH410" s="16">
        <f>+AH404-AG404</f>
        <v>-3507.8200000000652</v>
      </c>
    </row>
    <row r="411" spans="1:36">
      <c r="A411" t="s">
        <v>160</v>
      </c>
      <c r="F411" s="12">
        <f>SUM(F409:F410)</f>
        <v>-18789.490000000282</v>
      </c>
      <c r="G411" s="12">
        <f>SUM(G409:G410)</f>
        <v>129231.89999999979</v>
      </c>
      <c r="H411" s="12">
        <f>SUM(H409:H410)</f>
        <v>-543906.01999999979</v>
      </c>
      <c r="K411" s="12">
        <f t="shared" ref="K411:AH411" si="51">SUM(K409:K410)</f>
        <v>59217.569999999949</v>
      </c>
      <c r="L411" s="12">
        <f t="shared" si="51"/>
        <v>-22543.02000000095</v>
      </c>
      <c r="M411" s="12">
        <f t="shared" si="51"/>
        <v>86747.540000000357</v>
      </c>
      <c r="N411" s="12">
        <f t="shared" si="51"/>
        <v>181661.73000000048</v>
      </c>
      <c r="O411" s="12">
        <f t="shared" si="51"/>
        <v>322840.54999999993</v>
      </c>
      <c r="P411" s="12">
        <f t="shared" si="51"/>
        <v>0</v>
      </c>
      <c r="Q411" s="12">
        <f t="shared" si="51"/>
        <v>0</v>
      </c>
      <c r="R411" s="12">
        <f t="shared" si="51"/>
        <v>142685.06</v>
      </c>
      <c r="S411" s="12">
        <f t="shared" si="51"/>
        <v>-16103.439999999769</v>
      </c>
      <c r="T411" s="12">
        <f t="shared" si="51"/>
        <v>477016.93999999983</v>
      </c>
      <c r="U411" s="12">
        <f t="shared" si="51"/>
        <v>37087.039999999863</v>
      </c>
      <c r="V411" s="12">
        <f t="shared" si="51"/>
        <v>0</v>
      </c>
      <c r="W411" s="12">
        <f t="shared" si="51"/>
        <v>0</v>
      </c>
      <c r="X411" s="12">
        <f t="shared" si="51"/>
        <v>0</v>
      </c>
      <c r="Y411" s="12">
        <f t="shared" si="51"/>
        <v>-848285.30999999959</v>
      </c>
      <c r="Z411" s="12">
        <f t="shared" si="51"/>
        <v>60314.02999999997</v>
      </c>
      <c r="AA411" s="12">
        <f t="shared" si="51"/>
        <v>53125.69</v>
      </c>
      <c r="AB411" s="12">
        <f t="shared" si="51"/>
        <v>132294.9500000001</v>
      </c>
      <c r="AC411" s="12">
        <f t="shared" si="51"/>
        <v>73697.479999999719</v>
      </c>
      <c r="AD411" s="12">
        <f t="shared" si="51"/>
        <v>0</v>
      </c>
      <c r="AE411" s="12">
        <f t="shared" si="51"/>
        <v>0</v>
      </c>
      <c r="AF411" s="12">
        <f t="shared" si="51"/>
        <v>43378.910000000324</v>
      </c>
      <c r="AG411" s="12">
        <f t="shared" si="51"/>
        <v>-33393.930000000226</v>
      </c>
      <c r="AH411" s="12">
        <f t="shared" si="51"/>
        <v>43556.029999999912</v>
      </c>
    </row>
    <row r="414" spans="1:36">
      <c r="H414" s="12" t="s">
        <v>151</v>
      </c>
      <c r="O414" s="12" t="s">
        <v>164</v>
      </c>
    </row>
    <row r="415" spans="1:36">
      <c r="R415" s="12" t="s">
        <v>165</v>
      </c>
      <c r="T415" s="12" t="s">
        <v>166</v>
      </c>
    </row>
    <row r="416" spans="1:36">
      <c r="R416" s="12" t="s">
        <v>167</v>
      </c>
      <c r="T416" s="12" t="s">
        <v>168</v>
      </c>
    </row>
    <row r="417" spans="1:34">
      <c r="R417" s="12" t="s">
        <v>169</v>
      </c>
      <c r="T417" s="12" t="s">
        <v>170</v>
      </c>
    </row>
    <row r="422" spans="1:34">
      <c r="E422" s="28">
        <v>1</v>
      </c>
      <c r="F422" s="28">
        <v>4</v>
      </c>
      <c r="G422" s="28">
        <v>5</v>
      </c>
      <c r="H422" s="28">
        <v>6</v>
      </c>
      <c r="I422" s="28">
        <v>8</v>
      </c>
      <c r="J422" s="28">
        <v>9</v>
      </c>
      <c r="K422" s="28">
        <v>7</v>
      </c>
      <c r="L422" s="28">
        <v>8</v>
      </c>
      <c r="M422" s="28">
        <v>11</v>
      </c>
      <c r="N422" s="28">
        <v>12</v>
      </c>
      <c r="O422" s="28">
        <v>13</v>
      </c>
      <c r="P422" s="28">
        <v>8</v>
      </c>
      <c r="Q422" s="28">
        <v>9</v>
      </c>
      <c r="R422" s="28">
        <v>14</v>
      </c>
      <c r="S422" s="28">
        <v>15</v>
      </c>
      <c r="T422" s="28">
        <v>18</v>
      </c>
      <c r="U422" s="28">
        <v>19</v>
      </c>
      <c r="V422" s="28">
        <v>20</v>
      </c>
      <c r="W422" s="28">
        <v>8</v>
      </c>
      <c r="X422" s="28">
        <v>9</v>
      </c>
      <c r="Y422" s="28">
        <v>21</v>
      </c>
      <c r="Z422" s="28">
        <v>22</v>
      </c>
      <c r="AA422" s="28">
        <v>25</v>
      </c>
      <c r="AB422" s="28">
        <v>26</v>
      </c>
      <c r="AC422" s="28">
        <v>27</v>
      </c>
      <c r="AD422" s="28">
        <v>8</v>
      </c>
      <c r="AE422" s="28">
        <v>9</v>
      </c>
      <c r="AF422" s="28">
        <v>28</v>
      </c>
      <c r="AG422" s="19" t="s">
        <v>10</v>
      </c>
      <c r="AH422" s="19" t="s">
        <v>12</v>
      </c>
    </row>
    <row r="423" spans="1:34">
      <c r="A423" s="18" t="s">
        <v>15</v>
      </c>
      <c r="B423" s="18">
        <v>2013</v>
      </c>
      <c r="E423" s="49" t="s">
        <v>6</v>
      </c>
      <c r="F423" s="49" t="s">
        <v>3</v>
      </c>
      <c r="G423" s="49" t="s">
        <v>4</v>
      </c>
      <c r="H423" s="49" t="s">
        <v>5</v>
      </c>
      <c r="I423" s="49" t="s">
        <v>4</v>
      </c>
      <c r="J423" s="49" t="s">
        <v>5</v>
      </c>
      <c r="K423" s="49" t="s">
        <v>22</v>
      </c>
      <c r="L423" s="49" t="s">
        <v>6</v>
      </c>
      <c r="M423" s="49" t="s">
        <v>3</v>
      </c>
      <c r="N423" s="49" t="s">
        <v>4</v>
      </c>
      <c r="O423" s="49" t="s">
        <v>5</v>
      </c>
      <c r="P423" s="49" t="s">
        <v>4</v>
      </c>
      <c r="Q423" s="49" t="s">
        <v>5</v>
      </c>
      <c r="R423" s="49" t="s">
        <v>22</v>
      </c>
      <c r="S423" s="49" t="s">
        <v>6</v>
      </c>
      <c r="T423" s="49" t="s">
        <v>3</v>
      </c>
      <c r="U423" s="49" t="s">
        <v>4</v>
      </c>
      <c r="V423" s="49" t="s">
        <v>5</v>
      </c>
      <c r="W423" s="49" t="s">
        <v>4</v>
      </c>
      <c r="X423" s="49" t="s">
        <v>5</v>
      </c>
      <c r="Y423" s="49" t="s">
        <v>22</v>
      </c>
      <c r="Z423" s="49" t="s">
        <v>6</v>
      </c>
      <c r="AA423" s="49" t="s">
        <v>3</v>
      </c>
      <c r="AB423" s="49" t="s">
        <v>4</v>
      </c>
      <c r="AC423" s="49" t="s">
        <v>5</v>
      </c>
      <c r="AD423" s="49" t="s">
        <v>4</v>
      </c>
      <c r="AE423" s="49" t="s">
        <v>5</v>
      </c>
      <c r="AF423" s="49" t="s">
        <v>22</v>
      </c>
      <c r="AG423" s="19" t="s">
        <v>11</v>
      </c>
      <c r="AH423" s="19" t="s">
        <v>9</v>
      </c>
    </row>
    <row r="424" spans="1:34">
      <c r="A424" s="12" t="s">
        <v>47</v>
      </c>
      <c r="E424" s="86">
        <v>320331.15000000002</v>
      </c>
      <c r="F424" s="86">
        <v>350415.4</v>
      </c>
      <c r="G424" s="86">
        <v>102551.58</v>
      </c>
      <c r="H424" s="86">
        <v>137720.32000000001</v>
      </c>
      <c r="I424" s="89"/>
      <c r="J424" s="89"/>
      <c r="K424" s="86">
        <v>187077.94</v>
      </c>
      <c r="L424" s="86">
        <v>271842.03999999998</v>
      </c>
      <c r="M424" s="89">
        <v>473469.58</v>
      </c>
      <c r="N424" s="89">
        <v>471324.59</v>
      </c>
      <c r="O424" s="89">
        <v>537383.18000000005</v>
      </c>
      <c r="P424" s="89"/>
      <c r="Q424" s="89"/>
      <c r="R424" s="86">
        <v>599190.14</v>
      </c>
      <c r="S424" s="86">
        <v>705427.11</v>
      </c>
      <c r="T424" s="86">
        <v>799874.97</v>
      </c>
      <c r="U424" s="86">
        <v>799874.97</v>
      </c>
      <c r="V424" s="86">
        <v>156225.1</v>
      </c>
      <c r="W424" s="89"/>
      <c r="X424" s="89"/>
      <c r="Y424" s="86">
        <v>206421.94</v>
      </c>
      <c r="Z424" s="86">
        <v>320587.14</v>
      </c>
      <c r="AA424" s="86">
        <v>386845.11</v>
      </c>
      <c r="AB424" s="86">
        <v>435746.84</v>
      </c>
      <c r="AC424" s="86">
        <v>151212.88</v>
      </c>
      <c r="AF424" s="86">
        <v>264897.65000000002</v>
      </c>
      <c r="AG424" s="91">
        <f>SUM(E424:AF424)</f>
        <v>7678419.6299999999</v>
      </c>
      <c r="AH424" s="91">
        <f>AVERAGE(E424:AF424)</f>
        <v>383920.98149999999</v>
      </c>
    </row>
    <row r="425" spans="1:34">
      <c r="A425" s="12" t="s">
        <v>18</v>
      </c>
      <c r="E425" s="12">
        <v>-721994.11000000034</v>
      </c>
      <c r="F425" s="12">
        <v>-968471.20999999985</v>
      </c>
      <c r="G425" s="12">
        <v>-993217.8</v>
      </c>
      <c r="H425" s="12">
        <v>-677794.26999999979</v>
      </c>
      <c r="K425" s="12">
        <v>-682690.90999999957</v>
      </c>
      <c r="L425" s="12">
        <v>-704618.36999999941</v>
      </c>
      <c r="M425" s="12">
        <v>-713234.77</v>
      </c>
      <c r="N425" s="12">
        <v>-738150.53</v>
      </c>
      <c r="O425" s="12">
        <v>-539737.15</v>
      </c>
      <c r="R425" s="12">
        <v>-547218.13</v>
      </c>
      <c r="S425" s="12">
        <v>-553059.41</v>
      </c>
      <c r="T425" s="12">
        <v>-1144323.31</v>
      </c>
      <c r="U425" s="12">
        <v>-1165708.3600000006</v>
      </c>
      <c r="V425" s="12">
        <v>-1172785.54</v>
      </c>
      <c r="Y425" s="12">
        <v>-194365.42999999982</v>
      </c>
      <c r="Z425" s="12">
        <v>-213126.66999999958</v>
      </c>
      <c r="AA425" s="12">
        <v>-271803.42999999964</v>
      </c>
      <c r="AB425" s="12">
        <v>-281359.05999999965</v>
      </c>
      <c r="AC425" s="12">
        <v>-251014.06999999972</v>
      </c>
      <c r="AF425" s="12">
        <v>-337371.34999999963</v>
      </c>
      <c r="AG425" s="12">
        <f>SUM(E425:AF425)</f>
        <v>-12872043.880000001</v>
      </c>
      <c r="AH425" s="12">
        <f>AVERAGE(E425:AF425)</f>
        <v>-643602.19400000002</v>
      </c>
    </row>
    <row r="426" spans="1:34">
      <c r="A426" t="s">
        <v>21</v>
      </c>
      <c r="E426" s="16">
        <v>350000</v>
      </c>
      <c r="F426" s="16">
        <v>0</v>
      </c>
      <c r="G426" s="16">
        <v>300000</v>
      </c>
      <c r="H426" s="16">
        <v>0</v>
      </c>
      <c r="I426" s="16"/>
      <c r="J426" s="16"/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/>
      <c r="Q426" s="16"/>
      <c r="R426" s="16">
        <v>0</v>
      </c>
      <c r="S426" s="16">
        <v>0</v>
      </c>
      <c r="T426" s="16">
        <v>0</v>
      </c>
      <c r="U426" s="16">
        <v>0</v>
      </c>
      <c r="V426" s="16">
        <v>800000</v>
      </c>
      <c r="W426" s="16"/>
      <c r="X426" s="16"/>
      <c r="Y426" s="16">
        <v>0</v>
      </c>
      <c r="Z426" s="16">
        <v>0</v>
      </c>
      <c r="AA426" s="16">
        <v>0</v>
      </c>
      <c r="AB426" s="16">
        <v>0</v>
      </c>
      <c r="AC426" s="16">
        <v>350000</v>
      </c>
      <c r="AD426" s="16"/>
      <c r="AE426" s="16"/>
      <c r="AF426" s="16">
        <v>350000</v>
      </c>
    </row>
    <row r="427" spans="1:34" ht="15.75" thickBot="1">
      <c r="A427" t="s">
        <v>122</v>
      </c>
      <c r="E427" s="12">
        <f>+E426+E425+E424</f>
        <v>-51662.960000000312</v>
      </c>
      <c r="F427" s="12">
        <f t="shared" ref="F427:AF427" si="52">+F426+F425+F424</f>
        <v>-618055.80999999982</v>
      </c>
      <c r="G427" s="12">
        <f t="shared" si="52"/>
        <v>-590666.22000000009</v>
      </c>
      <c r="H427" s="12">
        <f t="shared" si="52"/>
        <v>-540073.94999999972</v>
      </c>
      <c r="I427" s="12">
        <f t="shared" si="52"/>
        <v>0</v>
      </c>
      <c r="J427" s="12">
        <f t="shared" si="52"/>
        <v>0</v>
      </c>
      <c r="K427" s="12">
        <f t="shared" si="52"/>
        <v>-495612.96999999956</v>
      </c>
      <c r="L427" s="12">
        <f t="shared" si="52"/>
        <v>-432776.32999999943</v>
      </c>
      <c r="M427" s="12">
        <f t="shared" si="52"/>
        <v>-239765.19</v>
      </c>
      <c r="N427" s="12">
        <f t="shared" si="52"/>
        <v>-266825.94</v>
      </c>
      <c r="O427" s="12">
        <f t="shared" si="52"/>
        <v>-2353.9699999999721</v>
      </c>
      <c r="P427" s="12">
        <f t="shared" si="52"/>
        <v>0</v>
      </c>
      <c r="Q427" s="12">
        <f t="shared" si="52"/>
        <v>0</v>
      </c>
      <c r="R427" s="12">
        <f t="shared" si="52"/>
        <v>51972.010000000009</v>
      </c>
      <c r="S427" s="12">
        <f t="shared" si="52"/>
        <v>152367.69999999995</v>
      </c>
      <c r="T427" s="12">
        <f t="shared" si="52"/>
        <v>-344448.34000000008</v>
      </c>
      <c r="U427" s="12">
        <f t="shared" si="52"/>
        <v>-365833.3900000006</v>
      </c>
      <c r="V427" s="12">
        <f t="shared" si="52"/>
        <v>-216560.44000000003</v>
      </c>
      <c r="W427" s="12">
        <f t="shared" si="52"/>
        <v>0</v>
      </c>
      <c r="X427" s="12">
        <f t="shared" si="52"/>
        <v>0</v>
      </c>
      <c r="Y427" s="12">
        <f t="shared" si="52"/>
        <v>12056.510000000184</v>
      </c>
      <c r="Z427" s="12">
        <f t="shared" si="52"/>
        <v>107460.47000000044</v>
      </c>
      <c r="AA427" s="12">
        <f t="shared" si="52"/>
        <v>115041.68000000034</v>
      </c>
      <c r="AB427" s="12">
        <f t="shared" si="52"/>
        <v>154387.78000000038</v>
      </c>
      <c r="AC427" s="12">
        <f t="shared" si="52"/>
        <v>250198.81000000029</v>
      </c>
      <c r="AD427" s="12">
        <f t="shared" si="52"/>
        <v>0</v>
      </c>
      <c r="AE427" s="12">
        <f t="shared" si="52"/>
        <v>0</v>
      </c>
      <c r="AF427" s="12">
        <f t="shared" si="52"/>
        <v>277526.3000000004</v>
      </c>
      <c r="AG427" s="17">
        <f t="shared" ref="AG427:AH427" si="53">SUM(AG424:AG426)</f>
        <v>-5193624.2500000009</v>
      </c>
      <c r="AH427" s="17">
        <f t="shared" si="53"/>
        <v>-259681.21250000002</v>
      </c>
    </row>
    <row r="428" spans="1:34" ht="15.75" thickTop="1"/>
    <row r="430" spans="1:34">
      <c r="A430" s="18" t="s">
        <v>48</v>
      </c>
      <c r="E430" s="12">
        <f>+E424-AH403</f>
        <v>210885.48000000004</v>
      </c>
      <c r="F430" s="12">
        <f>+F424-E424</f>
        <v>30084.25</v>
      </c>
      <c r="G430" s="12">
        <f>+G424-F424+300000</f>
        <v>52136.179999999993</v>
      </c>
      <c r="H430" s="12">
        <f>+H424-G424</f>
        <v>35168.740000000005</v>
      </c>
      <c r="K430" s="12">
        <f>+K424-H424</f>
        <v>49357.619999999995</v>
      </c>
      <c r="L430" s="12">
        <f>+L424-K424</f>
        <v>84764.099999999977</v>
      </c>
      <c r="M430" s="12">
        <f t="shared" ref="M430:O431" si="54">M424-L424</f>
        <v>201627.54000000004</v>
      </c>
      <c r="N430" s="12">
        <f t="shared" si="54"/>
        <v>-2144.9899999999907</v>
      </c>
      <c r="O430" s="12">
        <f t="shared" si="54"/>
        <v>66058.590000000026</v>
      </c>
      <c r="R430" s="12">
        <f>+R424-O424</f>
        <v>61806.959999999963</v>
      </c>
      <c r="S430" s="12">
        <f t="shared" ref="S430:U431" si="55">+S424-R424</f>
        <v>106236.96999999997</v>
      </c>
      <c r="T430" s="12">
        <f t="shared" si="55"/>
        <v>94447.859999999986</v>
      </c>
      <c r="U430" s="12">
        <f t="shared" si="55"/>
        <v>0</v>
      </c>
      <c r="V430" s="12">
        <f>+V424-U424+800000</f>
        <v>156350.13</v>
      </c>
      <c r="Y430" s="91">
        <f>+Y424-V424</f>
        <v>50196.84</v>
      </c>
      <c r="Z430" s="91">
        <f t="shared" ref="Z430:AB431" si="56">+Z424-Y424</f>
        <v>114165.20000000001</v>
      </c>
      <c r="AA430" s="91">
        <f t="shared" si="56"/>
        <v>66257.969999999972</v>
      </c>
      <c r="AB430" s="12">
        <f t="shared" si="56"/>
        <v>48901.73000000004</v>
      </c>
      <c r="AC430" s="91">
        <f>+AC424-AB424+350000</f>
        <v>65466.039999999979</v>
      </c>
      <c r="AF430" s="91">
        <f>+AF424-AC424</f>
        <v>113684.77000000002</v>
      </c>
    </row>
    <row r="431" spans="1:34">
      <c r="A431" s="18" t="s">
        <v>49</v>
      </c>
      <c r="E431" s="16">
        <f>+E425-AH404</f>
        <v>-55167.010000000475</v>
      </c>
      <c r="F431" s="16">
        <f>+F425-E425-350000</f>
        <v>-596477.09999999951</v>
      </c>
      <c r="G431" s="16">
        <f>+G425-F425</f>
        <v>-24746.5900000002</v>
      </c>
      <c r="H431" s="16">
        <f>+H425-G425-300000</f>
        <v>15423.530000000261</v>
      </c>
      <c r="I431" s="16"/>
      <c r="J431" s="16"/>
      <c r="K431" s="16">
        <f>+K425-H425</f>
        <v>-4896.6399999997811</v>
      </c>
      <c r="L431" s="16">
        <f>+L425-K425</f>
        <v>-21927.459999999846</v>
      </c>
      <c r="M431" s="16">
        <f t="shared" si="54"/>
        <v>-8616.4000000006054</v>
      </c>
      <c r="N431" s="16">
        <f t="shared" si="54"/>
        <v>-24915.760000000009</v>
      </c>
      <c r="O431" s="16">
        <f t="shared" si="54"/>
        <v>198413.38</v>
      </c>
      <c r="P431" s="16"/>
      <c r="Q431" s="16"/>
      <c r="R431" s="16">
        <f>+R425-O425</f>
        <v>-7480.9799999999814</v>
      </c>
      <c r="S431" s="16">
        <f t="shared" si="55"/>
        <v>-5841.2800000000279</v>
      </c>
      <c r="T431" s="16">
        <f t="shared" si="55"/>
        <v>-591263.9</v>
      </c>
      <c r="U431" s="16">
        <f t="shared" si="55"/>
        <v>-21385.050000000512</v>
      </c>
      <c r="V431" s="16">
        <f>+V425-U425</f>
        <v>-7077.1799999994691</v>
      </c>
      <c r="W431" s="16"/>
      <c r="X431" s="16"/>
      <c r="Y431" s="16">
        <f>+Y425-V425</f>
        <v>978420.11000000022</v>
      </c>
      <c r="Z431" s="16">
        <f t="shared" si="56"/>
        <v>-18761.239999999758</v>
      </c>
      <c r="AA431" s="16">
        <f t="shared" si="56"/>
        <v>-58676.760000000068</v>
      </c>
      <c r="AB431" s="16">
        <f t="shared" si="56"/>
        <v>-9555.6300000000047</v>
      </c>
      <c r="AC431" s="16">
        <f>+AC425-AB425</f>
        <v>30344.989999999932</v>
      </c>
      <c r="AD431" s="16"/>
      <c r="AE431" s="16"/>
      <c r="AF431" s="16">
        <f>+AF425-AC425</f>
        <v>-86357.279999999912</v>
      </c>
      <c r="AG431" s="16"/>
    </row>
    <row r="432" spans="1:34">
      <c r="A432" t="s">
        <v>160</v>
      </c>
      <c r="E432" s="12">
        <f>SUM(E430:E431)</f>
        <v>155718.46999999956</v>
      </c>
      <c r="F432" s="12">
        <f>SUM(F430:F431)</f>
        <v>-566392.84999999951</v>
      </c>
      <c r="G432" s="12">
        <f t="shared" ref="G432:AF432" si="57">SUM(G430:G431)</f>
        <v>27389.589999999793</v>
      </c>
      <c r="H432" s="12">
        <f t="shared" si="57"/>
        <v>50592.270000000266</v>
      </c>
      <c r="I432" s="12">
        <f t="shared" si="57"/>
        <v>0</v>
      </c>
      <c r="J432" s="12">
        <f t="shared" si="57"/>
        <v>0</v>
      </c>
      <c r="K432" s="12">
        <f t="shared" si="57"/>
        <v>44460.980000000214</v>
      </c>
      <c r="L432" s="12">
        <f t="shared" si="57"/>
        <v>62836.64000000013</v>
      </c>
      <c r="M432" s="12">
        <f t="shared" si="57"/>
        <v>193011.13999999943</v>
      </c>
      <c r="N432" s="12">
        <f t="shared" si="57"/>
        <v>-27060.75</v>
      </c>
      <c r="O432" s="12">
        <f t="shared" si="57"/>
        <v>264471.97000000003</v>
      </c>
      <c r="P432" s="12">
        <f t="shared" si="57"/>
        <v>0</v>
      </c>
      <c r="Q432" s="12">
        <f t="shared" si="57"/>
        <v>0</v>
      </c>
      <c r="R432" s="12">
        <f t="shared" si="57"/>
        <v>54325.979999999981</v>
      </c>
      <c r="S432" s="12">
        <f t="shared" si="57"/>
        <v>100395.68999999994</v>
      </c>
      <c r="T432" s="12">
        <f t="shared" si="57"/>
        <v>-496816.04000000004</v>
      </c>
      <c r="U432" s="12">
        <f t="shared" si="57"/>
        <v>-21385.050000000512</v>
      </c>
      <c r="V432" s="12">
        <f t="shared" si="57"/>
        <v>149272.95000000054</v>
      </c>
      <c r="W432" s="12">
        <f t="shared" si="57"/>
        <v>0</v>
      </c>
      <c r="X432" s="12">
        <f t="shared" si="57"/>
        <v>0</v>
      </c>
      <c r="Y432" s="12">
        <f t="shared" si="57"/>
        <v>1028616.9500000002</v>
      </c>
      <c r="Z432" s="12">
        <f t="shared" si="57"/>
        <v>95403.960000000254</v>
      </c>
      <c r="AA432" s="12">
        <f t="shared" si="57"/>
        <v>7581.2099999999045</v>
      </c>
      <c r="AB432" s="12">
        <f t="shared" si="57"/>
        <v>39346.100000000035</v>
      </c>
      <c r="AC432" s="12">
        <f t="shared" si="57"/>
        <v>95811.029999999912</v>
      </c>
      <c r="AD432" s="12">
        <f t="shared" si="57"/>
        <v>0</v>
      </c>
      <c r="AE432" s="12">
        <f t="shared" si="57"/>
        <v>0</v>
      </c>
      <c r="AF432" s="12">
        <f t="shared" si="57"/>
        <v>27327.490000000107</v>
      </c>
    </row>
    <row r="434" spans="1:35">
      <c r="AF434" s="12" t="s">
        <v>174</v>
      </c>
      <c r="AG434" s="12">
        <v>13638</v>
      </c>
    </row>
    <row r="435" spans="1:35">
      <c r="F435" s="12" t="s">
        <v>151</v>
      </c>
      <c r="N435" s="50" t="s">
        <v>171</v>
      </c>
      <c r="O435" s="12">
        <v>260301.33</v>
      </c>
      <c r="T435" s="12" t="s">
        <v>156</v>
      </c>
      <c r="U435" s="12" t="s">
        <v>172</v>
      </c>
      <c r="Y435" s="12" t="s">
        <v>179</v>
      </c>
      <c r="Z435" s="12">
        <v>116100</v>
      </c>
      <c r="AA435" s="12" t="s">
        <v>173</v>
      </c>
      <c r="AF435" s="12" t="s">
        <v>175</v>
      </c>
      <c r="AG435" s="12">
        <v>11428</v>
      </c>
    </row>
    <row r="436" spans="1:35">
      <c r="Y436" s="12" t="s">
        <v>96</v>
      </c>
      <c r="Z436" s="50">
        <v>21806.12</v>
      </c>
      <c r="AF436" s="12" t="s">
        <v>142</v>
      </c>
      <c r="AG436" s="12">
        <v>17011</v>
      </c>
    </row>
    <row r="437" spans="1:35">
      <c r="Y437" s="12" t="s">
        <v>96</v>
      </c>
      <c r="Z437" s="50">
        <v>27695.33</v>
      </c>
      <c r="AF437" s="12" t="s">
        <v>177</v>
      </c>
      <c r="AG437" s="12">
        <v>10785</v>
      </c>
    </row>
    <row r="438" spans="1:35">
      <c r="AF438" s="12" t="s">
        <v>176</v>
      </c>
      <c r="AG438" s="12">
        <v>9260</v>
      </c>
    </row>
    <row r="439" spans="1:35">
      <c r="AF439" s="12" t="s">
        <v>178</v>
      </c>
      <c r="AG439" s="12">
        <v>6967</v>
      </c>
    </row>
    <row r="440" spans="1:35">
      <c r="AF440" s="12" t="s">
        <v>146</v>
      </c>
      <c r="AG440" s="12">
        <v>6363</v>
      </c>
    </row>
    <row r="443" spans="1:35">
      <c r="E443" s="28">
        <v>1</v>
      </c>
      <c r="F443" s="28">
        <v>4</v>
      </c>
      <c r="G443" s="28">
        <v>5</v>
      </c>
      <c r="H443" s="28">
        <v>6</v>
      </c>
      <c r="I443" s="28">
        <v>8</v>
      </c>
      <c r="J443" s="28">
        <v>9</v>
      </c>
      <c r="K443" s="28">
        <v>7</v>
      </c>
      <c r="L443" s="28">
        <v>8</v>
      </c>
      <c r="M443" s="28">
        <v>11</v>
      </c>
      <c r="N443" s="28">
        <v>12</v>
      </c>
      <c r="O443" s="28">
        <v>13</v>
      </c>
      <c r="P443" s="28">
        <v>8</v>
      </c>
      <c r="Q443" s="28">
        <v>9</v>
      </c>
      <c r="R443" s="28">
        <v>14</v>
      </c>
      <c r="S443" s="28">
        <v>15</v>
      </c>
      <c r="T443" s="28">
        <v>18</v>
      </c>
      <c r="U443" s="28">
        <v>19</v>
      </c>
      <c r="V443" s="28">
        <v>20</v>
      </c>
      <c r="W443" s="28">
        <v>8</v>
      </c>
      <c r="X443" s="28">
        <v>9</v>
      </c>
      <c r="Y443" s="28">
        <v>21</v>
      </c>
      <c r="Z443" s="28">
        <v>22</v>
      </c>
      <c r="AA443" s="28">
        <v>25</v>
      </c>
      <c r="AB443" s="28">
        <v>26</v>
      </c>
      <c r="AC443" s="28">
        <v>27</v>
      </c>
      <c r="AD443" s="28">
        <v>8</v>
      </c>
      <c r="AE443" s="28">
        <v>9</v>
      </c>
      <c r="AF443" s="28">
        <v>28</v>
      </c>
      <c r="AG443" s="28">
        <v>29</v>
      </c>
      <c r="AH443" s="19" t="s">
        <v>10</v>
      </c>
      <c r="AI443" s="19" t="s">
        <v>12</v>
      </c>
    </row>
    <row r="444" spans="1:35">
      <c r="A444" s="18" t="s">
        <v>26</v>
      </c>
      <c r="B444" s="18">
        <v>2013</v>
      </c>
      <c r="E444" s="49" t="s">
        <v>6</v>
      </c>
      <c r="F444" s="49" t="s">
        <v>3</v>
      </c>
      <c r="G444" s="49" t="s">
        <v>4</v>
      </c>
      <c r="H444" s="49" t="s">
        <v>5</v>
      </c>
      <c r="I444" s="49" t="s">
        <v>4</v>
      </c>
      <c r="J444" s="49" t="s">
        <v>5</v>
      </c>
      <c r="K444" s="49" t="s">
        <v>22</v>
      </c>
      <c r="L444" s="49" t="s">
        <v>6</v>
      </c>
      <c r="M444" s="49" t="s">
        <v>3</v>
      </c>
      <c r="N444" s="49" t="s">
        <v>4</v>
      </c>
      <c r="O444" s="49" t="s">
        <v>5</v>
      </c>
      <c r="P444" s="49" t="s">
        <v>4</v>
      </c>
      <c r="Q444" s="49" t="s">
        <v>5</v>
      </c>
      <c r="R444" s="49" t="s">
        <v>22</v>
      </c>
      <c r="S444" s="49" t="s">
        <v>6</v>
      </c>
      <c r="T444" s="49" t="s">
        <v>3</v>
      </c>
      <c r="U444" s="49" t="s">
        <v>4</v>
      </c>
      <c r="V444" s="49" t="s">
        <v>5</v>
      </c>
      <c r="W444" s="49" t="s">
        <v>4</v>
      </c>
      <c r="X444" s="49" t="s">
        <v>5</v>
      </c>
      <c r="Y444" s="49" t="s">
        <v>22</v>
      </c>
      <c r="Z444" s="49" t="s">
        <v>6</v>
      </c>
      <c r="AA444" s="49" t="s">
        <v>3</v>
      </c>
      <c r="AB444" s="49" t="s">
        <v>4</v>
      </c>
      <c r="AC444" s="49" t="s">
        <v>5</v>
      </c>
      <c r="AD444" s="49" t="s">
        <v>4</v>
      </c>
      <c r="AE444" s="49" t="s">
        <v>5</v>
      </c>
      <c r="AF444" s="49" t="s">
        <v>22</v>
      </c>
      <c r="AG444" s="49" t="s">
        <v>6</v>
      </c>
      <c r="AH444" s="19" t="s">
        <v>11</v>
      </c>
      <c r="AI444" s="19" t="s">
        <v>9</v>
      </c>
    </row>
    <row r="445" spans="1:35">
      <c r="A445" s="12" t="s">
        <v>47</v>
      </c>
      <c r="E445" s="86">
        <v>399612.89</v>
      </c>
      <c r="F445" s="86">
        <v>449935.2</v>
      </c>
      <c r="G445" s="86">
        <v>508283.52</v>
      </c>
      <c r="H445" s="86">
        <v>534014.93000000005</v>
      </c>
      <c r="K445" s="86">
        <v>137157.47</v>
      </c>
      <c r="L445" s="86">
        <v>212573.98</v>
      </c>
      <c r="M445" s="86">
        <v>265285.15999999997</v>
      </c>
      <c r="N445" s="86">
        <v>298788.46999999997</v>
      </c>
      <c r="O445" s="86">
        <v>378291.02</v>
      </c>
      <c r="P445" s="89"/>
      <c r="Q445" s="89"/>
      <c r="R445" s="86">
        <v>445206.86</v>
      </c>
      <c r="S445" s="85">
        <v>575080.91</v>
      </c>
      <c r="T445" s="12">
        <v>164898</v>
      </c>
      <c r="U445" s="12">
        <v>222054.13</v>
      </c>
      <c r="V445" s="12">
        <v>362266.86</v>
      </c>
      <c r="Y445" s="12">
        <v>452966.51</v>
      </c>
      <c r="Z445" s="12">
        <v>515275.06</v>
      </c>
      <c r="AA445" s="86">
        <v>549431.25</v>
      </c>
      <c r="AB445" s="86">
        <v>625858.46</v>
      </c>
      <c r="AC445" s="86">
        <v>677155.85</v>
      </c>
      <c r="AF445" s="86">
        <v>743452.54</v>
      </c>
      <c r="AG445" s="12">
        <v>932782.66</v>
      </c>
      <c r="AH445" s="91">
        <f>SUM(E445:AG445)</f>
        <v>9450371.7300000004</v>
      </c>
      <c r="AI445" s="91">
        <f>AVERAGE(E445:AG445)</f>
        <v>450017.70142857142</v>
      </c>
    </row>
    <row r="446" spans="1:35">
      <c r="A446" s="12" t="s">
        <v>18</v>
      </c>
      <c r="E446" s="12">
        <v>61099.31999999984</v>
      </c>
      <c r="F446" s="12">
        <v>-525962.09000000008</v>
      </c>
      <c r="G446" s="12">
        <v>-532116.60999999975</v>
      </c>
      <c r="H446" s="12">
        <v>-544550.77000000014</v>
      </c>
      <c r="K446" s="12">
        <v>-572062.0199999999</v>
      </c>
      <c r="L446" s="12">
        <v>-172328.63000000027</v>
      </c>
      <c r="M446" s="12">
        <v>-200819.69</v>
      </c>
      <c r="N446" s="58">
        <v>-246345.26999999996</v>
      </c>
      <c r="O446" s="12">
        <v>-12299.86999999973</v>
      </c>
      <c r="R446" s="12">
        <v>-27455.62999999971</v>
      </c>
      <c r="S446" s="58">
        <v>-34035.719999999936</v>
      </c>
      <c r="T446" s="12">
        <v>-629475.31000000006</v>
      </c>
      <c r="U446" s="12">
        <v>-624947.73</v>
      </c>
      <c r="V446" s="12">
        <v>-597607.17000000004</v>
      </c>
      <c r="Y446" s="12">
        <v>-549287.73</v>
      </c>
      <c r="Z446" s="12">
        <v>-91043.85</v>
      </c>
      <c r="AA446" s="12">
        <v>-110596.60999999959</v>
      </c>
      <c r="AB446" s="12">
        <v>-177040.61999999941</v>
      </c>
      <c r="AC446" s="12">
        <v>-197800.69999999958</v>
      </c>
      <c r="AF446" s="12">
        <v>-251865.51999999952</v>
      </c>
      <c r="AG446" s="12">
        <v>-264230.13999999961</v>
      </c>
      <c r="AH446" s="12">
        <f>SUM(E446:AG446)</f>
        <v>-6300772.3599999966</v>
      </c>
      <c r="AI446" s="12">
        <f>AVERAGE(E446:AG446)</f>
        <v>-300036.77904761891</v>
      </c>
    </row>
    <row r="447" spans="1:35">
      <c r="A447" t="s">
        <v>21</v>
      </c>
      <c r="E447" s="16">
        <v>0</v>
      </c>
      <c r="F447" s="16">
        <v>0</v>
      </c>
      <c r="G447" s="16">
        <v>0</v>
      </c>
      <c r="H447" s="16">
        <v>0</v>
      </c>
      <c r="I447" s="16"/>
      <c r="J447" s="16"/>
      <c r="K447" s="16">
        <v>450000</v>
      </c>
      <c r="L447" s="16">
        <v>0</v>
      </c>
      <c r="M447" s="16">
        <v>0</v>
      </c>
      <c r="N447" s="16">
        <v>0</v>
      </c>
      <c r="O447" s="16"/>
      <c r="P447" s="16"/>
      <c r="Q447" s="16"/>
      <c r="R447" s="16"/>
      <c r="S447" s="16"/>
      <c r="T447" s="16">
        <v>500000</v>
      </c>
      <c r="U447" s="16">
        <v>500000</v>
      </c>
      <c r="V447" s="16">
        <v>500000</v>
      </c>
      <c r="W447" s="16"/>
      <c r="X447" s="16"/>
      <c r="Y447" s="16">
        <v>500000</v>
      </c>
      <c r="Z447" s="16">
        <v>0</v>
      </c>
      <c r="AA447" s="16">
        <v>0</v>
      </c>
      <c r="AB447" s="16"/>
      <c r="AC447" s="16"/>
      <c r="AD447" s="16"/>
      <c r="AE447" s="16"/>
      <c r="AF447" s="16"/>
      <c r="AG447" s="16"/>
    </row>
    <row r="448" spans="1:35" ht="15.75" thickBot="1">
      <c r="A448" t="s">
        <v>122</v>
      </c>
      <c r="E448" s="12">
        <f>SUM(E445:E447)</f>
        <v>460712.20999999985</v>
      </c>
      <c r="F448" s="12">
        <f>SUM(F445:F447)</f>
        <v>-76026.890000000072</v>
      </c>
      <c r="G448" s="12">
        <f t="shared" ref="G448:AG448" si="58">SUM(G445:G447)</f>
        <v>-23833.089999999735</v>
      </c>
      <c r="H448" s="12">
        <f t="shared" si="58"/>
        <v>-10535.840000000084</v>
      </c>
      <c r="I448" s="12">
        <f t="shared" si="58"/>
        <v>0</v>
      </c>
      <c r="J448" s="12">
        <f t="shared" si="58"/>
        <v>0</v>
      </c>
      <c r="K448" s="12">
        <f t="shared" si="58"/>
        <v>15095.45000000007</v>
      </c>
      <c r="L448" s="12">
        <f t="shared" si="58"/>
        <v>40245.349999999744</v>
      </c>
      <c r="M448" s="12">
        <f t="shared" si="58"/>
        <v>64465.469999999972</v>
      </c>
      <c r="N448" s="12">
        <f t="shared" si="58"/>
        <v>52443.200000000012</v>
      </c>
      <c r="O448" s="12">
        <f t="shared" si="58"/>
        <v>365991.15000000031</v>
      </c>
      <c r="P448" s="12">
        <f t="shared" si="58"/>
        <v>0</v>
      </c>
      <c r="Q448" s="12">
        <f t="shared" si="58"/>
        <v>0</v>
      </c>
      <c r="R448" s="12">
        <f t="shared" si="58"/>
        <v>417751.23000000027</v>
      </c>
      <c r="S448" s="12">
        <f t="shared" si="58"/>
        <v>541045.19000000006</v>
      </c>
      <c r="T448" s="12">
        <f t="shared" si="58"/>
        <v>35422.689999999944</v>
      </c>
      <c r="U448" s="12">
        <f t="shared" si="58"/>
        <v>97106.400000000023</v>
      </c>
      <c r="V448" s="12">
        <f t="shared" si="58"/>
        <v>264659.68999999994</v>
      </c>
      <c r="W448" s="12">
        <f t="shared" si="58"/>
        <v>0</v>
      </c>
      <c r="X448" s="12">
        <f t="shared" si="58"/>
        <v>0</v>
      </c>
      <c r="Y448" s="12">
        <f t="shared" si="58"/>
        <v>403678.78</v>
      </c>
      <c r="Z448" s="12">
        <f t="shared" si="58"/>
        <v>424231.20999999996</v>
      </c>
      <c r="AA448" s="12">
        <f t="shared" si="58"/>
        <v>438834.64000000042</v>
      </c>
      <c r="AB448" s="12">
        <f t="shared" si="58"/>
        <v>448817.84000000055</v>
      </c>
      <c r="AC448" s="12">
        <f t="shared" si="58"/>
        <v>479355.15000000037</v>
      </c>
      <c r="AD448" s="12">
        <f t="shared" si="58"/>
        <v>0</v>
      </c>
      <c r="AE448" s="12">
        <f t="shared" si="58"/>
        <v>0</v>
      </c>
      <c r="AF448" s="12">
        <f t="shared" si="58"/>
        <v>491587.02000000048</v>
      </c>
      <c r="AG448" s="12">
        <f t="shared" si="58"/>
        <v>668552.52000000048</v>
      </c>
      <c r="AH448" s="99">
        <f>SUM(AH445:AH447)</f>
        <v>3149599.3700000038</v>
      </c>
      <c r="AI448" s="99">
        <f>SUM(AI445:AI447)</f>
        <v>149980.92238095251</v>
      </c>
    </row>
    <row r="449" spans="1:36" ht="15.75" thickTop="1"/>
    <row r="451" spans="1:36">
      <c r="A451" s="18" t="s">
        <v>48</v>
      </c>
      <c r="E451" s="12">
        <f>+E445-AF424</f>
        <v>134715.24</v>
      </c>
      <c r="F451" s="12">
        <f t="shared" ref="F451:H452" si="59">+F445-E445</f>
        <v>50322.31</v>
      </c>
      <c r="G451" s="12">
        <f t="shared" si="59"/>
        <v>58348.320000000007</v>
      </c>
      <c r="H451" s="12">
        <f t="shared" si="59"/>
        <v>25731.410000000033</v>
      </c>
      <c r="K451" s="91">
        <f>+K445-H445+450000</f>
        <v>53142.539999999921</v>
      </c>
      <c r="L451" s="12">
        <f>+L445-K445</f>
        <v>75416.510000000009</v>
      </c>
      <c r="M451" s="12">
        <f>+M445-L445</f>
        <v>52711.179999999964</v>
      </c>
      <c r="N451" s="12">
        <f>+N445-M445</f>
        <v>33503.31</v>
      </c>
      <c r="O451" s="12">
        <f>+O445-N445</f>
        <v>79502.550000000047</v>
      </c>
      <c r="R451" s="91">
        <f>+R445-O445</f>
        <v>66915.839999999967</v>
      </c>
      <c r="S451" s="12">
        <f>+S445-R445</f>
        <v>129874.05000000005</v>
      </c>
      <c r="T451" s="12">
        <f>(T445-S445)+500000</f>
        <v>89817.089999999967</v>
      </c>
      <c r="U451" s="12">
        <f>U445-T445</f>
        <v>57156.130000000005</v>
      </c>
      <c r="V451" s="12">
        <f>V445-U445</f>
        <v>140212.72999999998</v>
      </c>
      <c r="Y451" s="12">
        <f>Y445-V445</f>
        <v>90699.650000000023</v>
      </c>
      <c r="Z451" s="12">
        <f>Z445-Y445</f>
        <v>62308.549999999988</v>
      </c>
      <c r="AA451" s="12">
        <f t="shared" ref="AA451:AC452" si="60">+AA445-Z445</f>
        <v>34156.19</v>
      </c>
      <c r="AB451" s="12">
        <f t="shared" si="60"/>
        <v>76427.209999999963</v>
      </c>
      <c r="AC451" s="12">
        <f t="shared" si="60"/>
        <v>51297.390000000014</v>
      </c>
      <c r="AF451" s="91">
        <f>+AF445-AC445</f>
        <v>66296.690000000061</v>
      </c>
      <c r="AG451" s="12">
        <f>+AG445-AF445</f>
        <v>189330.12</v>
      </c>
    </row>
    <row r="452" spans="1:36">
      <c r="A452" s="18" t="s">
        <v>49</v>
      </c>
      <c r="E452" s="16">
        <f>+E446-AF425-350000</f>
        <v>48470.66999999946</v>
      </c>
      <c r="F452" s="16">
        <f t="shared" si="59"/>
        <v>-587061.40999999992</v>
      </c>
      <c r="G452" s="16">
        <f t="shared" si="59"/>
        <v>-6154.5199999996694</v>
      </c>
      <c r="H452" s="16">
        <f t="shared" si="59"/>
        <v>-12434.160000000382</v>
      </c>
      <c r="I452" s="16"/>
      <c r="J452" s="16"/>
      <c r="K452" s="16">
        <f>+K446-H446</f>
        <v>-27511.249999999767</v>
      </c>
      <c r="L452" s="16">
        <f>+L446-K446-450000</f>
        <v>-50266.610000000335</v>
      </c>
      <c r="M452" s="16">
        <f>+M446-L446</f>
        <v>-28491.059999999736</v>
      </c>
      <c r="N452" s="16">
        <f>+N446-M446</f>
        <v>-45525.579999999958</v>
      </c>
      <c r="O452" s="16">
        <f>+O446-N446</f>
        <v>234045.40000000023</v>
      </c>
      <c r="P452" s="16"/>
      <c r="Q452" s="16"/>
      <c r="R452" s="16">
        <f>+R446-O446</f>
        <v>-15155.75999999998</v>
      </c>
      <c r="S452" s="16">
        <f>+S446-R446</f>
        <v>-6580.0900000002257</v>
      </c>
      <c r="T452" s="16">
        <f>T446-S446</f>
        <v>-595439.59000000008</v>
      </c>
      <c r="U452" s="16">
        <f>U446-T446</f>
        <v>4527.5800000000745</v>
      </c>
      <c r="V452" s="16">
        <f>V446-U446</f>
        <v>27340.559999999939</v>
      </c>
      <c r="W452" s="16"/>
      <c r="X452" s="16"/>
      <c r="Y452" s="16">
        <f>Y446-V446</f>
        <v>48319.440000000061</v>
      </c>
      <c r="Z452" s="16">
        <f>Z446-Y446</f>
        <v>458243.88</v>
      </c>
      <c r="AA452" s="16">
        <f t="shared" si="60"/>
        <v>-19552.759999999587</v>
      </c>
      <c r="AB452" s="16">
        <f t="shared" si="60"/>
        <v>-66444.00999999982</v>
      </c>
      <c r="AC452" s="16">
        <f t="shared" si="60"/>
        <v>-20760.080000000162</v>
      </c>
      <c r="AD452" s="16"/>
      <c r="AE452" s="16"/>
      <c r="AF452" s="16">
        <f>+AF446-AC446</f>
        <v>-54064.819999999949</v>
      </c>
      <c r="AG452" s="16">
        <f>+AG446-AF446</f>
        <v>-12364.620000000083</v>
      </c>
    </row>
    <row r="453" spans="1:36">
      <c r="A453" t="s">
        <v>160</v>
      </c>
      <c r="E453" s="12">
        <f>+E452+E451</f>
        <v>183185.90999999945</v>
      </c>
      <c r="F453" s="12">
        <f>+F452+F451</f>
        <v>-536739.09999999986</v>
      </c>
      <c r="G453" s="12">
        <f>+G452+G451</f>
        <v>52193.800000000338</v>
      </c>
      <c r="H453" s="12">
        <f t="shared" ref="H453:AI453" si="61">+H452+H451</f>
        <v>13297.249999999651</v>
      </c>
      <c r="I453" s="12">
        <f t="shared" si="61"/>
        <v>0</v>
      </c>
      <c r="J453" s="12">
        <f t="shared" si="61"/>
        <v>0</v>
      </c>
      <c r="K453" s="12">
        <f t="shared" si="61"/>
        <v>25631.290000000154</v>
      </c>
      <c r="L453" s="12">
        <f t="shared" si="61"/>
        <v>25149.899999999674</v>
      </c>
      <c r="M453" s="12">
        <f t="shared" si="61"/>
        <v>24220.120000000228</v>
      </c>
      <c r="N453" s="12">
        <f t="shared" si="61"/>
        <v>-12022.26999999996</v>
      </c>
      <c r="O453" s="12">
        <f t="shared" si="61"/>
        <v>313547.9500000003</v>
      </c>
      <c r="P453" s="12">
        <f t="shared" si="61"/>
        <v>0</v>
      </c>
      <c r="Q453" s="12">
        <f t="shared" si="61"/>
        <v>0</v>
      </c>
      <c r="R453" s="12">
        <f t="shared" si="61"/>
        <v>51760.079999999987</v>
      </c>
      <c r="S453" s="12">
        <f t="shared" si="61"/>
        <v>123293.95999999982</v>
      </c>
      <c r="T453" s="12">
        <f t="shared" si="61"/>
        <v>-505622.50000000012</v>
      </c>
      <c r="U453" s="12">
        <f t="shared" si="61"/>
        <v>61683.710000000079</v>
      </c>
      <c r="V453" s="12">
        <f t="shared" si="61"/>
        <v>167553.28999999992</v>
      </c>
      <c r="W453" s="12">
        <f t="shared" si="61"/>
        <v>0</v>
      </c>
      <c r="X453" s="12">
        <f t="shared" si="61"/>
        <v>0</v>
      </c>
      <c r="Y453" s="12">
        <f t="shared" si="61"/>
        <v>139019.09000000008</v>
      </c>
      <c r="Z453" s="12">
        <f t="shared" si="61"/>
        <v>520552.43</v>
      </c>
      <c r="AA453" s="12">
        <f t="shared" si="61"/>
        <v>14603.430000000415</v>
      </c>
      <c r="AB453" s="12">
        <f t="shared" si="61"/>
        <v>9983.2000000001426</v>
      </c>
      <c r="AC453" s="12">
        <f t="shared" si="61"/>
        <v>30537.309999999852</v>
      </c>
      <c r="AD453" s="12">
        <f t="shared" si="61"/>
        <v>0</v>
      </c>
      <c r="AE453" s="12">
        <f t="shared" si="61"/>
        <v>0</v>
      </c>
      <c r="AF453" s="12">
        <f t="shared" si="61"/>
        <v>12231.870000000112</v>
      </c>
      <c r="AG453" s="12">
        <f t="shared" si="61"/>
        <v>176965.49999999991</v>
      </c>
      <c r="AH453" s="12">
        <f t="shared" si="61"/>
        <v>0</v>
      </c>
      <c r="AI453" s="12">
        <f t="shared" si="61"/>
        <v>0</v>
      </c>
    </row>
    <row r="456" spans="1:36">
      <c r="O456" s="12" t="s">
        <v>171</v>
      </c>
      <c r="AG456" s="85"/>
    </row>
    <row r="460" spans="1:36">
      <c r="E460" s="28">
        <v>1</v>
      </c>
      <c r="F460" s="28">
        <v>2</v>
      </c>
      <c r="G460" s="28">
        <v>3</v>
      </c>
      <c r="H460" s="28">
        <v>4</v>
      </c>
      <c r="I460" s="28">
        <v>9</v>
      </c>
      <c r="J460" s="28">
        <v>7</v>
      </c>
      <c r="K460" s="28">
        <v>5</v>
      </c>
      <c r="L460" s="28">
        <v>8</v>
      </c>
      <c r="M460" s="28">
        <v>9</v>
      </c>
      <c r="N460" s="28">
        <v>10</v>
      </c>
      <c r="O460" s="28">
        <v>11</v>
      </c>
      <c r="P460" s="28">
        <v>9</v>
      </c>
      <c r="Q460" s="28">
        <v>7</v>
      </c>
      <c r="R460" s="28">
        <v>12</v>
      </c>
      <c r="S460" s="28">
        <v>15</v>
      </c>
      <c r="T460" s="28">
        <v>16</v>
      </c>
      <c r="U460" s="28">
        <v>17</v>
      </c>
      <c r="V460" s="28">
        <v>18</v>
      </c>
      <c r="W460" s="28">
        <v>9</v>
      </c>
      <c r="X460" s="28">
        <v>19</v>
      </c>
      <c r="Y460" s="28">
        <v>19</v>
      </c>
      <c r="Z460" s="28">
        <v>22</v>
      </c>
      <c r="AA460" s="28">
        <v>23</v>
      </c>
      <c r="AB460" s="28">
        <v>24</v>
      </c>
      <c r="AC460" s="28">
        <v>25</v>
      </c>
      <c r="AD460" s="28">
        <v>9</v>
      </c>
      <c r="AE460" s="28">
        <v>19</v>
      </c>
      <c r="AF460" s="28">
        <v>26</v>
      </c>
      <c r="AG460" s="28">
        <v>29</v>
      </c>
      <c r="AH460" s="28">
        <v>30</v>
      </c>
      <c r="AI460" s="19" t="s">
        <v>10</v>
      </c>
      <c r="AJ460" s="19" t="s">
        <v>12</v>
      </c>
    </row>
    <row r="461" spans="1:36">
      <c r="A461" s="18" t="s">
        <v>37</v>
      </c>
      <c r="B461" s="18">
        <v>2013</v>
      </c>
      <c r="E461" s="49" t="s">
        <v>3</v>
      </c>
      <c r="F461" s="49" t="s">
        <v>4</v>
      </c>
      <c r="G461" s="49" t="s">
        <v>5</v>
      </c>
      <c r="H461" s="49" t="s">
        <v>22</v>
      </c>
      <c r="I461" s="49" t="s">
        <v>5</v>
      </c>
      <c r="J461" s="49" t="s">
        <v>22</v>
      </c>
      <c r="K461" s="49" t="s">
        <v>6</v>
      </c>
      <c r="L461" s="49" t="s">
        <v>3</v>
      </c>
      <c r="M461" s="49" t="s">
        <v>4</v>
      </c>
      <c r="N461" s="49" t="s">
        <v>5</v>
      </c>
      <c r="O461" s="49" t="s">
        <v>22</v>
      </c>
      <c r="P461" s="49" t="s">
        <v>5</v>
      </c>
      <c r="Q461" s="49" t="s">
        <v>22</v>
      </c>
      <c r="R461" s="49" t="s">
        <v>6</v>
      </c>
      <c r="S461" s="49" t="s">
        <v>3</v>
      </c>
      <c r="T461" s="49" t="s">
        <v>4</v>
      </c>
      <c r="U461" s="49" t="s">
        <v>5</v>
      </c>
      <c r="V461" s="49" t="s">
        <v>22</v>
      </c>
      <c r="W461" s="49" t="s">
        <v>5</v>
      </c>
      <c r="X461" s="49" t="s">
        <v>22</v>
      </c>
      <c r="Y461" s="49" t="s">
        <v>6</v>
      </c>
      <c r="Z461" s="49" t="s">
        <v>3</v>
      </c>
      <c r="AA461" s="49" t="s">
        <v>4</v>
      </c>
      <c r="AB461" s="49" t="s">
        <v>5</v>
      </c>
      <c r="AC461" s="49" t="s">
        <v>4</v>
      </c>
      <c r="AD461" s="49" t="s">
        <v>5</v>
      </c>
      <c r="AE461" s="49" t="s">
        <v>22</v>
      </c>
      <c r="AF461" s="49" t="s">
        <v>6</v>
      </c>
      <c r="AG461" s="49" t="s">
        <v>3</v>
      </c>
      <c r="AH461" s="49" t="s">
        <v>4</v>
      </c>
      <c r="AI461" s="19" t="s">
        <v>11</v>
      </c>
      <c r="AJ461" s="19" t="s">
        <v>9</v>
      </c>
    </row>
    <row r="462" spans="1:36">
      <c r="A462" s="12" t="s">
        <v>47</v>
      </c>
      <c r="E462" s="86">
        <v>996120.51</v>
      </c>
      <c r="F462" s="86">
        <v>220831.34</v>
      </c>
      <c r="G462" s="86">
        <v>271257.63</v>
      </c>
      <c r="H462" s="86">
        <v>350809.39</v>
      </c>
      <c r="I462" s="86">
        <v>481033.74</v>
      </c>
      <c r="J462" s="89"/>
      <c r="K462" s="86">
        <v>481033.74</v>
      </c>
      <c r="L462" s="86">
        <v>544130</v>
      </c>
      <c r="M462" s="86">
        <v>582095.17000000004</v>
      </c>
      <c r="N462" s="86">
        <v>658838.92000000004</v>
      </c>
      <c r="O462" s="86">
        <v>184554.43</v>
      </c>
      <c r="R462" s="86">
        <v>270180.84000000003</v>
      </c>
      <c r="S462" s="86">
        <v>324405.65000000002</v>
      </c>
      <c r="T462" s="86">
        <v>379066.06</v>
      </c>
      <c r="U462" s="85">
        <v>461062.13</v>
      </c>
      <c r="V462" s="86">
        <v>507386.83</v>
      </c>
      <c r="W462" s="89"/>
      <c r="X462" s="89"/>
      <c r="Y462" s="86">
        <v>583391.21</v>
      </c>
      <c r="Z462" s="86">
        <v>686150.13</v>
      </c>
      <c r="AA462" s="86">
        <v>773610.65</v>
      </c>
      <c r="AB462" s="86">
        <v>825679.49</v>
      </c>
      <c r="AC462" s="86">
        <v>922309.34</v>
      </c>
      <c r="AF462" s="85">
        <v>1015258.69</v>
      </c>
      <c r="AG462" s="85">
        <v>1080098.69</v>
      </c>
      <c r="AH462" s="85">
        <v>1130297.19</v>
      </c>
      <c r="AI462" s="91">
        <f>SUM(E462:AH462)</f>
        <v>13729601.769999998</v>
      </c>
      <c r="AJ462" s="91">
        <f>AVERAGE(E462:AH462)</f>
        <v>596939.2073913042</v>
      </c>
    </row>
    <row r="463" spans="1:36">
      <c r="A463" s="12" t="s">
        <v>18</v>
      </c>
      <c r="E463" s="12">
        <v>-935171.37000000034</v>
      </c>
      <c r="F463" s="12">
        <v>-888490.37</v>
      </c>
      <c r="G463" s="12">
        <v>-160674.19000000012</v>
      </c>
      <c r="H463" s="12">
        <v>-196894.05000000016</v>
      </c>
      <c r="K463" s="12">
        <v>-105924.12999999983</v>
      </c>
      <c r="L463" s="12">
        <v>-115351.42999999982</v>
      </c>
      <c r="M463" s="12">
        <v>-139609.4599999997</v>
      </c>
      <c r="N463" s="12">
        <v>-166632.14999999973</v>
      </c>
      <c r="O463" s="12">
        <v>90209.990000000325</v>
      </c>
      <c r="R463" s="12">
        <v>70947.690000000395</v>
      </c>
      <c r="S463" s="12">
        <v>19366.710000000083</v>
      </c>
      <c r="T463" s="12">
        <v>-37003.229999999887</v>
      </c>
      <c r="U463" s="12">
        <v>-72403.139999999956</v>
      </c>
      <c r="V463" s="12">
        <v>-76200.670000000042</v>
      </c>
      <c r="Y463" s="95">
        <v>-106323.75999999986</v>
      </c>
      <c r="Z463" s="12">
        <v>-114201.15</v>
      </c>
      <c r="AA463" s="12">
        <v>-57781.170000000413</v>
      </c>
      <c r="AB463" s="12">
        <v>-77395.71000000037</v>
      </c>
      <c r="AC463" s="12">
        <v>-123632.24000000028</v>
      </c>
      <c r="AF463" s="58">
        <v>-208155.12</v>
      </c>
      <c r="AG463" s="12">
        <v>-797788.07000000018</v>
      </c>
      <c r="AH463" s="12">
        <v>-670328.41999999981</v>
      </c>
      <c r="AI463" s="12">
        <f>SUM(E463:AH463)</f>
        <v>-4869435.4399999995</v>
      </c>
      <c r="AJ463" s="12">
        <f>AVERAGE(E463:AH463)</f>
        <v>-221337.97454545452</v>
      </c>
    </row>
    <row r="464" spans="1:36">
      <c r="A464" t="s">
        <v>21</v>
      </c>
      <c r="E464" s="16">
        <v>0</v>
      </c>
      <c r="F464" s="16">
        <v>800000</v>
      </c>
      <c r="G464" s="16">
        <v>0</v>
      </c>
      <c r="H464" s="16">
        <v>0</v>
      </c>
      <c r="I464" s="16"/>
      <c r="J464" s="16"/>
      <c r="K464" s="16">
        <v>0</v>
      </c>
      <c r="L464" s="16">
        <v>0</v>
      </c>
      <c r="M464" s="16">
        <v>0</v>
      </c>
      <c r="N464" s="16">
        <v>0</v>
      </c>
      <c r="O464" s="16">
        <v>550000</v>
      </c>
      <c r="P464" s="16"/>
      <c r="Q464" s="16"/>
      <c r="R464" s="16">
        <v>550000</v>
      </c>
      <c r="S464" s="16">
        <v>0</v>
      </c>
      <c r="T464" s="16">
        <v>0</v>
      </c>
      <c r="U464" s="16">
        <v>0</v>
      </c>
      <c r="V464" s="16">
        <v>0</v>
      </c>
      <c r="W464" s="16"/>
      <c r="X464" s="16"/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/>
      <c r="AE464" s="16"/>
      <c r="AF464" s="16">
        <v>0</v>
      </c>
      <c r="AG464" s="16">
        <v>0</v>
      </c>
      <c r="AH464" s="16">
        <v>0</v>
      </c>
    </row>
    <row r="465" spans="1:37" ht="15.75" thickBot="1">
      <c r="A465" t="s">
        <v>122</v>
      </c>
      <c r="E465" s="91">
        <f>SUM(E462:E464)</f>
        <v>60949.139999999665</v>
      </c>
      <c r="F465" s="91">
        <f t="shared" ref="F465:AH465" si="62">SUM(F462:F464)</f>
        <v>132340.96999999997</v>
      </c>
      <c r="G465" s="91">
        <f t="shared" si="62"/>
        <v>110583.43999999989</v>
      </c>
      <c r="H465" s="91">
        <f t="shared" si="62"/>
        <v>153915.33999999985</v>
      </c>
      <c r="I465" s="91">
        <f t="shared" si="62"/>
        <v>481033.74</v>
      </c>
      <c r="J465" s="91">
        <f t="shared" si="62"/>
        <v>0</v>
      </c>
      <c r="K465" s="91">
        <f t="shared" si="62"/>
        <v>375109.61000000016</v>
      </c>
      <c r="L465" s="91">
        <f t="shared" si="62"/>
        <v>428778.57000000018</v>
      </c>
      <c r="M465" s="91">
        <f>SUM(M462:M464)</f>
        <v>442485.71000000031</v>
      </c>
      <c r="N465" s="91">
        <f t="shared" si="62"/>
        <v>492206.77000000031</v>
      </c>
      <c r="O465" s="91">
        <f t="shared" si="62"/>
        <v>824764.42000000039</v>
      </c>
      <c r="P465" s="91">
        <f t="shared" si="62"/>
        <v>0</v>
      </c>
      <c r="Q465" s="91">
        <f t="shared" si="62"/>
        <v>0</v>
      </c>
      <c r="R465" s="91">
        <f t="shared" si="62"/>
        <v>891128.53000000049</v>
      </c>
      <c r="S465" s="91">
        <f t="shared" si="62"/>
        <v>343772.3600000001</v>
      </c>
      <c r="T465" s="91">
        <f t="shared" si="62"/>
        <v>342062.83000000013</v>
      </c>
      <c r="U465" s="91">
        <f t="shared" si="62"/>
        <v>388658.99000000005</v>
      </c>
      <c r="V465" s="91">
        <f t="shared" si="62"/>
        <v>431186.16</v>
      </c>
      <c r="W465" s="91">
        <f t="shared" si="62"/>
        <v>0</v>
      </c>
      <c r="X465" s="91">
        <f t="shared" si="62"/>
        <v>0</v>
      </c>
      <c r="Y465" s="91">
        <f t="shared" si="62"/>
        <v>477067.45000000007</v>
      </c>
      <c r="Z465" s="91">
        <f t="shared" si="62"/>
        <v>571948.98</v>
      </c>
      <c r="AA465" s="91">
        <f t="shared" si="62"/>
        <v>715829.47999999963</v>
      </c>
      <c r="AB465" s="91">
        <f t="shared" si="62"/>
        <v>748283.77999999956</v>
      </c>
      <c r="AC465" s="91">
        <f t="shared" si="62"/>
        <v>798677.09999999963</v>
      </c>
      <c r="AD465" s="91">
        <f t="shared" si="62"/>
        <v>0</v>
      </c>
      <c r="AE465" s="91">
        <f t="shared" si="62"/>
        <v>0</v>
      </c>
      <c r="AF465" s="91">
        <f t="shared" si="62"/>
        <v>807103.57</v>
      </c>
      <c r="AG465" s="91">
        <f t="shared" si="62"/>
        <v>282310.61999999976</v>
      </c>
      <c r="AH465" s="91">
        <f t="shared" si="62"/>
        <v>459968.77000000014</v>
      </c>
      <c r="AI465" s="99">
        <f>SUM(AI462:AI464)</f>
        <v>8860166.3299999982</v>
      </c>
      <c r="AJ465" s="99">
        <f>SUM(AJ462:AJ464)</f>
        <v>375601.23284584971</v>
      </c>
    </row>
    <row r="466" spans="1:37" ht="15.75" thickTop="1"/>
    <row r="468" spans="1:37">
      <c r="A468" s="18" t="s">
        <v>48</v>
      </c>
      <c r="E468" s="12">
        <f>+E462-AG445</f>
        <v>63337.849999999977</v>
      </c>
      <c r="F468" s="91">
        <f>+F462-E462+800000</f>
        <v>24710.829999999958</v>
      </c>
      <c r="G468" s="91">
        <f>+G462-F462</f>
        <v>50426.290000000008</v>
      </c>
      <c r="H468" s="12">
        <f>+I462-G462</f>
        <v>209776.11</v>
      </c>
      <c r="K468" s="12">
        <f>+L462-I462</f>
        <v>63096.260000000009</v>
      </c>
      <c r="L468" s="12">
        <f>+M462-L462</f>
        <v>37965.170000000042</v>
      </c>
      <c r="M468" s="91">
        <f>+M462-L462</f>
        <v>37965.170000000042</v>
      </c>
      <c r="N468" s="91">
        <f>+N462-M462</f>
        <v>76743.75</v>
      </c>
      <c r="O468" s="91">
        <f>+O462-N462+550000</f>
        <v>75715.509999999951</v>
      </c>
      <c r="R468" s="12">
        <f>+R462-O462</f>
        <v>85626.410000000033</v>
      </c>
      <c r="S468" s="91">
        <f>+S462-R462</f>
        <v>54224.81</v>
      </c>
      <c r="T468" s="12">
        <f>+T462-S462</f>
        <v>54660.409999999974</v>
      </c>
      <c r="U468" s="12">
        <f>+U462-T462</f>
        <v>81996.070000000007</v>
      </c>
      <c r="V468" s="12">
        <f>+V462-U462</f>
        <v>46324.700000000012</v>
      </c>
      <c r="Y468" s="91">
        <f>+Y462-V462</f>
        <v>76004.379999999946</v>
      </c>
      <c r="Z468" s="12">
        <f t="shared" ref="Z468:AB469" si="63">+Z462-Y462</f>
        <v>102758.92000000004</v>
      </c>
      <c r="AA468" s="12">
        <f t="shared" si="63"/>
        <v>87460.520000000019</v>
      </c>
      <c r="AB468" s="12">
        <f t="shared" si="63"/>
        <v>52068.839999999967</v>
      </c>
      <c r="AC468" s="91">
        <f>+AC462-AB462</f>
        <v>96629.849999999977</v>
      </c>
      <c r="AF468" s="12">
        <f>+AF462-AC462</f>
        <v>92949.349999999977</v>
      </c>
      <c r="AG468" s="12">
        <f>+AG462-AF462</f>
        <v>64840</v>
      </c>
      <c r="AH468" s="12">
        <f>+AH462-AG462</f>
        <v>50198.5</v>
      </c>
    </row>
    <row r="469" spans="1:37">
      <c r="A469" s="18" t="s">
        <v>49</v>
      </c>
      <c r="E469" s="16">
        <f>+E463-AG446</f>
        <v>-670941.23000000068</v>
      </c>
      <c r="F469" s="16">
        <f>+F463-E463</f>
        <v>46681.000000000349</v>
      </c>
      <c r="G469" s="16">
        <f>+G463-F463-800000</f>
        <v>-72183.820000000065</v>
      </c>
      <c r="H469" s="16">
        <f>+H463-G463</f>
        <v>-36219.860000000044</v>
      </c>
      <c r="I469" s="16"/>
      <c r="J469" s="16"/>
      <c r="K469" s="16">
        <f>+K463-H463</f>
        <v>90969.920000000333</v>
      </c>
      <c r="L469" s="16">
        <f>+L463-K463</f>
        <v>-9427.2999999999884</v>
      </c>
      <c r="M469" s="16">
        <f>+M463-L463</f>
        <v>-24258.029999999882</v>
      </c>
      <c r="N469" s="16">
        <f>+N463-M463</f>
        <v>-27022.690000000031</v>
      </c>
      <c r="O469" s="16">
        <f>+O463-N463</f>
        <v>256842.14000000007</v>
      </c>
      <c r="P469" s="16"/>
      <c r="Q469" s="16"/>
      <c r="R469" s="16">
        <f>+R463-O463</f>
        <v>-19262.29999999993</v>
      </c>
      <c r="S469" s="16">
        <f>+S463-R463+550000</f>
        <v>498419.01999999967</v>
      </c>
      <c r="T469" s="16">
        <f>+T463-S463</f>
        <v>-56369.939999999973</v>
      </c>
      <c r="U469" s="16">
        <f>+U463-T463</f>
        <v>-35399.910000000069</v>
      </c>
      <c r="V469" s="16">
        <f>+V463-U463</f>
        <v>-3797.5300000000861</v>
      </c>
      <c r="W469" s="16"/>
      <c r="X469" s="16"/>
      <c r="Y469" s="16">
        <f>+Y463-V463</f>
        <v>-30123.089999999822</v>
      </c>
      <c r="Z469" s="16">
        <f t="shared" si="63"/>
        <v>-7877.3900000001304</v>
      </c>
      <c r="AA469" s="16">
        <f t="shared" si="63"/>
        <v>56419.979999999581</v>
      </c>
      <c r="AB469" s="16">
        <f>+AC463-AA463</f>
        <v>-65851.069999999861</v>
      </c>
      <c r="AC469" s="16">
        <f>+AC463-AB463</f>
        <v>-46236.529999999912</v>
      </c>
      <c r="AD469" s="16"/>
      <c r="AE469" s="16"/>
      <c r="AF469" s="16">
        <f>+AF463-AC463</f>
        <v>-84522.879999999714</v>
      </c>
      <c r="AG469" s="16">
        <f>+AG463-AF463</f>
        <v>-589632.95000000019</v>
      </c>
      <c r="AH469" s="16">
        <f>+AH463-AG463</f>
        <v>127459.65000000037</v>
      </c>
      <c r="AI469" s="50"/>
    </row>
    <row r="470" spans="1:37">
      <c r="A470" t="s">
        <v>160</v>
      </c>
      <c r="E470" s="12">
        <f>SUM(E468:E469)</f>
        <v>-607603.3800000007</v>
      </c>
      <c r="F470" s="12">
        <f>SUM(F468:F469)</f>
        <v>71391.830000000307</v>
      </c>
      <c r="G470" s="91">
        <f>SUM(G468:G469)</f>
        <v>-21757.530000000057</v>
      </c>
      <c r="H470" s="12">
        <f>SUM(H468:H469)</f>
        <v>173556.24999999994</v>
      </c>
      <c r="K470" s="12">
        <f t="shared" ref="K470:AH470" si="64">SUM(K468:K469)</f>
        <v>154066.18000000034</v>
      </c>
      <c r="L470" s="12">
        <f t="shared" si="64"/>
        <v>28537.870000000054</v>
      </c>
      <c r="M470" s="12">
        <f t="shared" si="64"/>
        <v>13707.140000000159</v>
      </c>
      <c r="N470" s="12">
        <f t="shared" si="64"/>
        <v>49721.059999999969</v>
      </c>
      <c r="O470" s="12">
        <f t="shared" si="64"/>
        <v>332557.65000000002</v>
      </c>
      <c r="P470" s="12">
        <f t="shared" si="64"/>
        <v>0</v>
      </c>
      <c r="Q470" s="12">
        <f t="shared" si="64"/>
        <v>0</v>
      </c>
      <c r="R470" s="12">
        <f t="shared" si="64"/>
        <v>66364.110000000102</v>
      </c>
      <c r="S470" s="12">
        <f t="shared" si="64"/>
        <v>552643.82999999961</v>
      </c>
      <c r="T470" s="12">
        <f t="shared" si="64"/>
        <v>-1709.5299999999988</v>
      </c>
      <c r="U470" s="12">
        <f t="shared" si="64"/>
        <v>46596.159999999938</v>
      </c>
      <c r="V470" s="12">
        <f t="shared" si="64"/>
        <v>42527.169999999925</v>
      </c>
      <c r="W470" s="12">
        <f t="shared" si="64"/>
        <v>0</v>
      </c>
      <c r="X470" s="12">
        <f t="shared" si="64"/>
        <v>0</v>
      </c>
      <c r="Y470" s="12">
        <f t="shared" si="64"/>
        <v>45881.290000000125</v>
      </c>
      <c r="Z470" s="12">
        <f t="shared" si="64"/>
        <v>94881.529999999912</v>
      </c>
      <c r="AA470" s="12">
        <f t="shared" si="64"/>
        <v>143880.49999999959</v>
      </c>
      <c r="AB470" s="12">
        <f t="shared" si="64"/>
        <v>-13782.229999999894</v>
      </c>
      <c r="AC470" s="12">
        <f t="shared" si="64"/>
        <v>50393.320000000065</v>
      </c>
      <c r="AD470" s="12">
        <f t="shared" si="64"/>
        <v>0</v>
      </c>
      <c r="AE470" s="12">
        <f t="shared" si="64"/>
        <v>0</v>
      </c>
      <c r="AF470" s="12">
        <f t="shared" si="64"/>
        <v>8426.4700000002631</v>
      </c>
      <c r="AG470" s="12">
        <f t="shared" si="64"/>
        <v>-524792.95000000019</v>
      </c>
      <c r="AH470" s="12">
        <f t="shared" si="64"/>
        <v>177658.15000000037</v>
      </c>
    </row>
    <row r="474" spans="1:37">
      <c r="E474" s="12" t="s">
        <v>151</v>
      </c>
      <c r="O474" s="12" t="s">
        <v>171</v>
      </c>
      <c r="S474" s="12" t="s">
        <v>151</v>
      </c>
      <c r="T474" s="12" t="s">
        <v>173</v>
      </c>
      <c r="AG474" s="12" t="s">
        <v>151</v>
      </c>
    </row>
    <row r="477" spans="1:37">
      <c r="E477" s="28">
        <v>1</v>
      </c>
      <c r="F477" s="28">
        <v>2</v>
      </c>
      <c r="G477" s="28">
        <v>3</v>
      </c>
      <c r="H477" s="28">
        <v>6</v>
      </c>
      <c r="I477" s="28">
        <v>8</v>
      </c>
      <c r="J477" s="28">
        <v>9</v>
      </c>
      <c r="K477" s="28">
        <v>7</v>
      </c>
      <c r="L477" s="28">
        <v>8</v>
      </c>
      <c r="M477" s="28">
        <v>9</v>
      </c>
      <c r="N477" s="28">
        <v>10</v>
      </c>
      <c r="O477" s="28">
        <v>13</v>
      </c>
      <c r="P477" s="28">
        <v>12</v>
      </c>
      <c r="Q477" s="28">
        <v>12</v>
      </c>
      <c r="R477" s="28">
        <v>14</v>
      </c>
      <c r="S477" s="28">
        <v>15</v>
      </c>
      <c r="T477" s="28">
        <v>16</v>
      </c>
      <c r="U477" s="28">
        <v>17</v>
      </c>
      <c r="V477" s="28">
        <v>20</v>
      </c>
      <c r="W477" s="28">
        <v>17</v>
      </c>
      <c r="X477" s="28">
        <v>21</v>
      </c>
      <c r="Y477" s="28">
        <v>21</v>
      </c>
      <c r="Z477" s="28">
        <v>22</v>
      </c>
      <c r="AA477" s="28">
        <v>23</v>
      </c>
      <c r="AB477" s="28">
        <v>24</v>
      </c>
      <c r="AC477" s="28">
        <v>27</v>
      </c>
      <c r="AF477" s="28">
        <v>28</v>
      </c>
      <c r="AG477" s="28">
        <v>29</v>
      </c>
      <c r="AH477" s="28">
        <v>30</v>
      </c>
      <c r="AI477" s="28">
        <v>31</v>
      </c>
      <c r="AJ477" s="19" t="s">
        <v>10</v>
      </c>
      <c r="AK477" s="19" t="s">
        <v>12</v>
      </c>
    </row>
    <row r="478" spans="1:37">
      <c r="A478" s="18" t="s">
        <v>38</v>
      </c>
      <c r="B478" s="18">
        <v>2013</v>
      </c>
      <c r="E478" s="49" t="s">
        <v>5</v>
      </c>
      <c r="F478" s="49" t="s">
        <v>22</v>
      </c>
      <c r="G478" s="49" t="s">
        <v>6</v>
      </c>
      <c r="H478" s="49" t="s">
        <v>3</v>
      </c>
      <c r="I478" s="49" t="s">
        <v>4</v>
      </c>
      <c r="J478" s="49" t="s">
        <v>5</v>
      </c>
      <c r="K478" s="49" t="s">
        <v>4</v>
      </c>
      <c r="L478" s="49" t="s">
        <v>5</v>
      </c>
      <c r="M478" s="49" t="s">
        <v>22</v>
      </c>
      <c r="N478" s="49" t="s">
        <v>6</v>
      </c>
      <c r="O478" s="49" t="s">
        <v>3</v>
      </c>
      <c r="P478" s="49" t="s">
        <v>4</v>
      </c>
      <c r="Q478" s="49" t="s">
        <v>5</v>
      </c>
      <c r="R478" s="49" t="s">
        <v>4</v>
      </c>
      <c r="S478" s="49" t="s">
        <v>5</v>
      </c>
      <c r="T478" s="49" t="s">
        <v>22</v>
      </c>
      <c r="U478" s="49" t="s">
        <v>6</v>
      </c>
      <c r="V478" s="49" t="s">
        <v>3</v>
      </c>
      <c r="W478" s="49" t="s">
        <v>4</v>
      </c>
      <c r="X478" s="49" t="s">
        <v>5</v>
      </c>
      <c r="Y478" s="49" t="s">
        <v>4</v>
      </c>
      <c r="Z478" s="49" t="s">
        <v>5</v>
      </c>
      <c r="AA478" s="49" t="s">
        <v>22</v>
      </c>
      <c r="AB478" s="49" t="s">
        <v>6</v>
      </c>
      <c r="AC478" s="49" t="s">
        <v>3</v>
      </c>
      <c r="AD478" s="49" t="s">
        <v>4</v>
      </c>
      <c r="AE478" s="49" t="s">
        <v>5</v>
      </c>
      <c r="AF478" s="49" t="s">
        <v>4</v>
      </c>
      <c r="AG478" s="49" t="s">
        <v>5</v>
      </c>
      <c r="AH478" s="49" t="s">
        <v>22</v>
      </c>
      <c r="AI478" s="49" t="s">
        <v>6</v>
      </c>
      <c r="AJ478" s="19" t="s">
        <v>11</v>
      </c>
      <c r="AK478" s="19" t="s">
        <v>9</v>
      </c>
    </row>
    <row r="479" spans="1:37">
      <c r="A479" s="12" t="s">
        <v>47</v>
      </c>
      <c r="E479" s="86">
        <v>392336.28</v>
      </c>
      <c r="F479" s="86">
        <v>461864.78</v>
      </c>
      <c r="G479" s="86">
        <v>566726.07999999996</v>
      </c>
      <c r="H479" s="86">
        <v>614315.21</v>
      </c>
      <c r="K479" s="86">
        <v>677013.28</v>
      </c>
      <c r="L479" s="86">
        <v>731666.2</v>
      </c>
      <c r="M479" s="86">
        <v>780156.83</v>
      </c>
      <c r="N479" s="86">
        <v>914073.66</v>
      </c>
      <c r="O479" s="86">
        <v>950381.87</v>
      </c>
      <c r="R479" s="86">
        <v>340447.08</v>
      </c>
      <c r="S479" s="86">
        <v>384301.99</v>
      </c>
      <c r="T479" s="86">
        <v>442806.46</v>
      </c>
      <c r="U479" s="86">
        <v>534024.14</v>
      </c>
      <c r="V479" s="86">
        <v>627871.1</v>
      </c>
      <c r="Y479" s="86">
        <v>666019.96</v>
      </c>
      <c r="Z479" s="86">
        <v>719405.88</v>
      </c>
      <c r="AA479" s="86">
        <v>807623.58</v>
      </c>
      <c r="AB479" s="86">
        <v>925867.41</v>
      </c>
      <c r="AF479" s="86">
        <v>997992.57</v>
      </c>
      <c r="AG479" s="86">
        <v>656838.36</v>
      </c>
      <c r="AH479" s="86">
        <v>712490.63</v>
      </c>
      <c r="AI479" s="85">
        <v>813723.09</v>
      </c>
      <c r="AJ479" s="91">
        <f>SUM(E479:AI479)</f>
        <v>14717946.440000003</v>
      </c>
      <c r="AK479" s="91">
        <f>AVERAGE(E479:AI479)</f>
        <v>668997.56545454555</v>
      </c>
    </row>
    <row r="480" spans="1:37">
      <c r="A480" s="12" t="s">
        <v>18</v>
      </c>
      <c r="E480" s="12">
        <v>-686421.13999999978</v>
      </c>
      <c r="F480" s="12">
        <v>96443.440000000061</v>
      </c>
      <c r="G480" s="12">
        <v>40893.200000000441</v>
      </c>
      <c r="H480" s="89">
        <v>17861.910000000182</v>
      </c>
      <c r="K480" s="12">
        <v>12168.330000000049</v>
      </c>
      <c r="L480" s="12">
        <v>-498.79999999983829</v>
      </c>
      <c r="M480" s="12">
        <v>-51949.679999999724</v>
      </c>
      <c r="N480" s="12">
        <v>-27267.729999999774</v>
      </c>
      <c r="O480" s="12">
        <v>-598891.38000000024</v>
      </c>
      <c r="R480" s="12">
        <v>-661433.17000000004</v>
      </c>
      <c r="S480" s="12">
        <v>-662641.58000000019</v>
      </c>
      <c r="T480" s="89">
        <v>8115.0899999999137</v>
      </c>
      <c r="U480" s="12">
        <v>486477.5399999998</v>
      </c>
      <c r="V480" s="12">
        <v>499089.02999999968</v>
      </c>
      <c r="Y480" s="12">
        <v>414859.15999999957</v>
      </c>
      <c r="Z480" s="89">
        <v>392676.06</v>
      </c>
      <c r="AA480" s="12">
        <v>385694.43</v>
      </c>
      <c r="AB480" s="89">
        <v>365898.62000000005</v>
      </c>
      <c r="AF480" s="50">
        <v>-208895.64999999994</v>
      </c>
      <c r="AG480" s="12">
        <v>160683.3000000001</v>
      </c>
      <c r="AH480" s="12">
        <v>144273.65000000005</v>
      </c>
      <c r="AI480" s="12">
        <v>131122.88000000003</v>
      </c>
      <c r="AJ480" s="12">
        <f>SUM(E480:AI480)</f>
        <v>258257.51000000056</v>
      </c>
      <c r="AK480" s="12">
        <f>AVERAGE(E480:AI480)</f>
        <v>11738.977727272753</v>
      </c>
    </row>
    <row r="481" spans="1:37">
      <c r="A481" t="s">
        <v>21</v>
      </c>
      <c r="E481" s="16">
        <v>800000</v>
      </c>
      <c r="F481" s="16">
        <v>0</v>
      </c>
      <c r="G481" s="16">
        <v>0</v>
      </c>
      <c r="H481" s="100">
        <v>0</v>
      </c>
      <c r="I481" s="16"/>
      <c r="J481" s="16"/>
      <c r="K481" s="16">
        <v>0</v>
      </c>
      <c r="L481" s="16">
        <v>0</v>
      </c>
      <c r="M481" s="16">
        <v>0</v>
      </c>
      <c r="N481" s="16"/>
      <c r="O481" s="16"/>
      <c r="P481" s="16"/>
      <c r="Q481" s="16"/>
      <c r="R481" s="16">
        <v>700000</v>
      </c>
      <c r="S481" s="16">
        <v>700000</v>
      </c>
      <c r="T481" s="16">
        <v>0</v>
      </c>
      <c r="U481" s="16">
        <v>0</v>
      </c>
      <c r="V481" s="16">
        <v>0</v>
      </c>
      <c r="W481" s="16"/>
      <c r="X481" s="16"/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/>
      <c r="AE481" s="16"/>
      <c r="AF481" s="16">
        <v>0</v>
      </c>
      <c r="AG481" s="16">
        <v>400000</v>
      </c>
      <c r="AH481" s="16">
        <v>400000</v>
      </c>
      <c r="AI481" s="16">
        <v>400000</v>
      </c>
      <c r="AJ481" s="16"/>
      <c r="AK481" s="16"/>
    </row>
    <row r="482" spans="1:37">
      <c r="A482" t="s">
        <v>122</v>
      </c>
      <c r="E482" s="91">
        <f>SUM(E479:E481)</f>
        <v>505915.14000000025</v>
      </c>
      <c r="F482" s="91">
        <f t="shared" ref="F482:AI482" si="65">SUM(F479:F481)</f>
        <v>558308.22000000009</v>
      </c>
      <c r="G482" s="91">
        <f t="shared" si="65"/>
        <v>607619.28000000038</v>
      </c>
      <c r="H482" s="12">
        <f>SUM(H479:H481)</f>
        <v>632177.12000000011</v>
      </c>
      <c r="I482" s="91">
        <f t="shared" si="65"/>
        <v>0</v>
      </c>
      <c r="J482" s="91">
        <f t="shared" si="65"/>
        <v>0</v>
      </c>
      <c r="K482" s="91">
        <f t="shared" si="65"/>
        <v>689181.6100000001</v>
      </c>
      <c r="L482" s="91">
        <f t="shared" si="65"/>
        <v>731167.40000000014</v>
      </c>
      <c r="M482" s="91">
        <f t="shared" si="65"/>
        <v>728207.15000000026</v>
      </c>
      <c r="N482" s="91">
        <f t="shared" si="65"/>
        <v>886805.93000000028</v>
      </c>
      <c r="O482" s="91">
        <f t="shared" si="65"/>
        <v>351490.48999999976</v>
      </c>
      <c r="P482" s="91">
        <f t="shared" si="65"/>
        <v>0</v>
      </c>
      <c r="Q482" s="91">
        <f t="shared" si="65"/>
        <v>0</v>
      </c>
      <c r="R482" s="91">
        <f t="shared" si="65"/>
        <v>379013.91</v>
      </c>
      <c r="S482" s="91">
        <f t="shared" si="65"/>
        <v>421660.4099999998</v>
      </c>
      <c r="T482" s="91">
        <f t="shared" si="65"/>
        <v>450921.54999999993</v>
      </c>
      <c r="U482" s="91">
        <f t="shared" si="65"/>
        <v>1020501.6799999998</v>
      </c>
      <c r="V482" s="91">
        <f t="shared" si="65"/>
        <v>1126960.1299999997</v>
      </c>
      <c r="W482" s="91">
        <f t="shared" si="65"/>
        <v>0</v>
      </c>
      <c r="X482" s="91">
        <f t="shared" si="65"/>
        <v>0</v>
      </c>
      <c r="Y482" s="91">
        <f t="shared" si="65"/>
        <v>1080879.1199999996</v>
      </c>
      <c r="Z482" s="91">
        <f t="shared" si="65"/>
        <v>1112081.94</v>
      </c>
      <c r="AA482" s="91">
        <f t="shared" si="65"/>
        <v>1193318.01</v>
      </c>
      <c r="AB482" s="91">
        <f t="shared" si="65"/>
        <v>1291766.03</v>
      </c>
      <c r="AC482" s="91">
        <f t="shared" si="65"/>
        <v>0</v>
      </c>
      <c r="AD482" s="91">
        <f t="shared" si="65"/>
        <v>0</v>
      </c>
      <c r="AE482" s="91">
        <f t="shared" si="65"/>
        <v>0</v>
      </c>
      <c r="AF482" s="91">
        <f>SUM(AF479:AF480)</f>
        <v>789096.92</v>
      </c>
      <c r="AG482" s="91">
        <f t="shared" si="65"/>
        <v>1217521.6600000001</v>
      </c>
      <c r="AH482" s="91">
        <f t="shared" si="65"/>
        <v>1256764.28</v>
      </c>
      <c r="AI482" s="91">
        <f t="shared" si="65"/>
        <v>1344845.97</v>
      </c>
      <c r="AJ482" s="91">
        <f>SUM(AJ479:AJ481)</f>
        <v>14976203.950000003</v>
      </c>
      <c r="AK482" s="91">
        <f>SUM(AK479:AK481)</f>
        <v>680736.54318181833</v>
      </c>
    </row>
    <row r="485" spans="1:37">
      <c r="A485" s="18" t="s">
        <v>48</v>
      </c>
      <c r="E485" s="12">
        <f>+E479-AH462+800000</f>
        <v>62039.090000000084</v>
      </c>
      <c r="F485" s="12">
        <f>+F479-E479</f>
        <v>69528.5</v>
      </c>
      <c r="G485" s="12">
        <f>+G479-F479</f>
        <v>104861.29999999993</v>
      </c>
      <c r="H485" s="12">
        <f>+H479-G479</f>
        <v>47589.130000000005</v>
      </c>
      <c r="K485" s="12">
        <f>+K479-H479</f>
        <v>62698.070000000065</v>
      </c>
      <c r="L485" s="91">
        <f t="shared" ref="L485:N486" si="66">+L479-K479</f>
        <v>54652.919999999925</v>
      </c>
      <c r="M485" s="12">
        <f t="shared" si="66"/>
        <v>48490.630000000005</v>
      </c>
      <c r="N485" s="12">
        <f t="shared" si="66"/>
        <v>133916.83000000007</v>
      </c>
      <c r="O485" s="12">
        <f>+O479-N479</f>
        <v>36308.209999999963</v>
      </c>
      <c r="R485" s="12">
        <f>+R479-O479+700000</f>
        <v>90065.209999999963</v>
      </c>
      <c r="S485" s="12">
        <f>+S479-R479</f>
        <v>43854.909999999974</v>
      </c>
      <c r="T485" s="12">
        <f>+T479-S479</f>
        <v>58504.47000000003</v>
      </c>
      <c r="U485" s="12">
        <f>+U479-T479</f>
        <v>91217.68</v>
      </c>
      <c r="V485" s="12">
        <f>+V479-U479</f>
        <v>93846.959999999963</v>
      </c>
      <c r="Y485" s="12">
        <f>+Y479-V479</f>
        <v>38148.859999999986</v>
      </c>
      <c r="Z485" s="91">
        <f t="shared" ref="Z485:AB486" si="67">+Z479-Y479</f>
        <v>53385.920000000042</v>
      </c>
      <c r="AA485" s="12">
        <f t="shared" si="67"/>
        <v>88217.699999999953</v>
      </c>
      <c r="AB485" s="91">
        <f t="shared" si="67"/>
        <v>118243.83000000007</v>
      </c>
      <c r="AF485" s="91">
        <f>+AF479-AB479</f>
        <v>72125.159999999916</v>
      </c>
      <c r="AG485" s="91">
        <f>+AG479-AF479+500000</f>
        <v>158845.79000000004</v>
      </c>
      <c r="AH485" s="91">
        <f>+AH479-AG479</f>
        <v>55652.270000000019</v>
      </c>
      <c r="AI485" s="12">
        <f>+AI479-AH479</f>
        <v>101232.45999999996</v>
      </c>
    </row>
    <row r="486" spans="1:37">
      <c r="A486" s="18" t="s">
        <v>49</v>
      </c>
      <c r="E486" s="16">
        <f>+E480-AH463</f>
        <v>-16092.719999999972</v>
      </c>
      <c r="F486" s="16">
        <f>+F480-E480-800000</f>
        <v>-17135.420000000158</v>
      </c>
      <c r="G486" s="16">
        <f>+G480-F480</f>
        <v>-55550.23999999962</v>
      </c>
      <c r="H486" s="16">
        <f>+H480-G480</f>
        <v>-23031.290000000259</v>
      </c>
      <c r="I486" s="16"/>
      <c r="J486" s="16"/>
      <c r="K486" s="16">
        <f>+K480-H480</f>
        <v>-5693.5800000001327</v>
      </c>
      <c r="L486" s="16">
        <f t="shared" si="66"/>
        <v>-12667.129999999888</v>
      </c>
      <c r="M486" s="16">
        <f t="shared" si="66"/>
        <v>-51450.879999999888</v>
      </c>
      <c r="N486" s="16">
        <f t="shared" si="66"/>
        <v>24681.94999999995</v>
      </c>
      <c r="O486" s="16">
        <f>+O480-N480</f>
        <v>-571623.65000000049</v>
      </c>
      <c r="P486" s="16"/>
      <c r="Q486" s="16"/>
      <c r="R486" s="16">
        <f>+R480-O480</f>
        <v>-62541.789999999804</v>
      </c>
      <c r="S486" s="16">
        <f>+S480-R480</f>
        <v>-1208.410000000149</v>
      </c>
      <c r="T486" s="16">
        <f>+T480-S480-700000</f>
        <v>-29243.329999999842</v>
      </c>
      <c r="U486" s="16">
        <f>+U480-T480</f>
        <v>478362.4499999999</v>
      </c>
      <c r="V486" s="16">
        <f>+V480-U480</f>
        <v>12611.489999999874</v>
      </c>
      <c r="W486" s="16"/>
      <c r="X486" s="16"/>
      <c r="Y486" s="16">
        <f>+Y480-V480</f>
        <v>-84229.870000000112</v>
      </c>
      <c r="Z486" s="16">
        <f t="shared" si="67"/>
        <v>-22183.099999999569</v>
      </c>
      <c r="AA486" s="16">
        <f t="shared" si="67"/>
        <v>-6981.6300000000047</v>
      </c>
      <c r="AB486" s="16">
        <f t="shared" si="67"/>
        <v>-19795.809999999939</v>
      </c>
      <c r="AC486" s="16"/>
      <c r="AD486" s="16"/>
      <c r="AE486" s="16"/>
      <c r="AF486" s="16">
        <f>+AF480-AB480</f>
        <v>-574794.27</v>
      </c>
      <c r="AG486" s="16">
        <f>+AG480-AF480</f>
        <v>369578.95000000007</v>
      </c>
      <c r="AH486" s="16">
        <f>+AH480-AG480</f>
        <v>-16409.650000000052</v>
      </c>
      <c r="AI486" s="16">
        <f>+AI480-AH480</f>
        <v>-13150.770000000019</v>
      </c>
    </row>
    <row r="487" spans="1:37">
      <c r="A487" t="s">
        <v>160</v>
      </c>
      <c r="E487" s="12">
        <f>SUM(E485:E486)</f>
        <v>45946.370000000112</v>
      </c>
      <c r="F487" s="12">
        <f t="shared" ref="F487:AI487" si="68">SUM(F485:F486)</f>
        <v>52393.079999999842</v>
      </c>
      <c r="G487" s="12">
        <f t="shared" si="68"/>
        <v>49311.060000000311</v>
      </c>
      <c r="H487" s="12">
        <f t="shared" si="68"/>
        <v>24557.839999999745</v>
      </c>
      <c r="I487" s="12">
        <f t="shared" si="68"/>
        <v>0</v>
      </c>
      <c r="J487" s="12">
        <f t="shared" si="68"/>
        <v>0</v>
      </c>
      <c r="K487" s="12">
        <f t="shared" si="68"/>
        <v>57004.489999999932</v>
      </c>
      <c r="L487" s="12">
        <f t="shared" si="68"/>
        <v>41985.790000000037</v>
      </c>
      <c r="M487" s="12">
        <f t="shared" si="68"/>
        <v>-2960.2499999998836</v>
      </c>
      <c r="N487" s="12">
        <f t="shared" si="68"/>
        <v>158598.78000000003</v>
      </c>
      <c r="O487" s="12">
        <f t="shared" si="68"/>
        <v>-535315.44000000053</v>
      </c>
      <c r="P487" s="12">
        <f t="shared" si="68"/>
        <v>0</v>
      </c>
      <c r="Q487" s="12">
        <f t="shared" si="68"/>
        <v>0</v>
      </c>
      <c r="R487" s="12">
        <f t="shared" si="68"/>
        <v>27523.420000000158</v>
      </c>
      <c r="S487" s="12">
        <f t="shared" si="68"/>
        <v>42646.499999999825</v>
      </c>
      <c r="T487" s="12">
        <f t="shared" si="68"/>
        <v>29261.140000000189</v>
      </c>
      <c r="U487" s="12">
        <f t="shared" si="68"/>
        <v>569580.12999999989</v>
      </c>
      <c r="V487" s="12">
        <f t="shared" si="68"/>
        <v>106458.44999999984</v>
      </c>
      <c r="W487" s="12">
        <f t="shared" si="68"/>
        <v>0</v>
      </c>
      <c r="X487" s="12">
        <f t="shared" si="68"/>
        <v>0</v>
      </c>
      <c r="Y487" s="12">
        <f t="shared" si="68"/>
        <v>-46081.010000000126</v>
      </c>
      <c r="Z487" s="12">
        <f t="shared" si="68"/>
        <v>31202.820000000473</v>
      </c>
      <c r="AA487" s="12">
        <f t="shared" si="68"/>
        <v>81236.069999999949</v>
      </c>
      <c r="AB487" s="12">
        <f t="shared" si="68"/>
        <v>98448.020000000135</v>
      </c>
      <c r="AC487" s="12">
        <f t="shared" si="68"/>
        <v>0</v>
      </c>
      <c r="AD487" s="12">
        <f t="shared" si="68"/>
        <v>0</v>
      </c>
      <c r="AE487" s="12">
        <f t="shared" si="68"/>
        <v>0</v>
      </c>
      <c r="AF487" s="12">
        <f t="shared" si="68"/>
        <v>-502669.1100000001</v>
      </c>
      <c r="AG487" s="12">
        <f t="shared" si="68"/>
        <v>528424.74000000011</v>
      </c>
      <c r="AH487" s="12">
        <f t="shared" si="68"/>
        <v>39242.619999999966</v>
      </c>
      <c r="AI487" s="12">
        <f t="shared" si="68"/>
        <v>88081.689999999944</v>
      </c>
    </row>
    <row r="490" spans="1:37">
      <c r="M490" s="12" t="s">
        <v>173</v>
      </c>
      <c r="O490" s="12" t="s">
        <v>151</v>
      </c>
      <c r="U490" s="12" t="s">
        <v>171</v>
      </c>
      <c r="Y490" s="101"/>
      <c r="AF490" s="12" t="s">
        <v>151</v>
      </c>
      <c r="AG490" s="12" t="s">
        <v>182</v>
      </c>
    </row>
    <row r="491" spans="1:37">
      <c r="O491" s="12" t="s">
        <v>180</v>
      </c>
      <c r="U491" s="12" t="s">
        <v>181</v>
      </c>
    </row>
    <row r="494" spans="1:37">
      <c r="E494" s="28">
        <v>3</v>
      </c>
      <c r="F494" s="28">
        <v>4</v>
      </c>
      <c r="G494" s="28">
        <v>5</v>
      </c>
      <c r="H494" s="28">
        <v>6</v>
      </c>
      <c r="I494" s="28">
        <v>8</v>
      </c>
      <c r="J494" s="28">
        <v>9</v>
      </c>
      <c r="K494" s="28">
        <v>7</v>
      </c>
      <c r="L494" s="28">
        <v>10</v>
      </c>
      <c r="M494" s="28">
        <v>11</v>
      </c>
      <c r="N494" s="28">
        <v>12</v>
      </c>
      <c r="O494" s="28">
        <v>13</v>
      </c>
      <c r="P494" s="28">
        <v>12</v>
      </c>
      <c r="Q494" s="28">
        <v>12</v>
      </c>
      <c r="R494" s="28">
        <v>14</v>
      </c>
      <c r="S494" s="28">
        <v>17</v>
      </c>
      <c r="T494" s="28">
        <v>18</v>
      </c>
      <c r="U494" s="28">
        <v>19</v>
      </c>
      <c r="V494" s="28">
        <v>20</v>
      </c>
      <c r="W494" s="28">
        <v>17</v>
      </c>
      <c r="X494" s="28">
        <v>21</v>
      </c>
      <c r="Y494" s="28">
        <v>21</v>
      </c>
      <c r="Z494" s="28">
        <v>24</v>
      </c>
      <c r="AA494" s="28">
        <v>25</v>
      </c>
      <c r="AB494" s="28">
        <v>26</v>
      </c>
      <c r="AC494" s="28">
        <v>27</v>
      </c>
      <c r="AF494" s="28">
        <v>28</v>
      </c>
      <c r="AG494" s="19" t="s">
        <v>10</v>
      </c>
      <c r="AH494" s="19" t="s">
        <v>12</v>
      </c>
    </row>
    <row r="495" spans="1:37">
      <c r="A495" s="18" t="s">
        <v>39</v>
      </c>
      <c r="B495" s="18">
        <v>2013</v>
      </c>
      <c r="E495" s="49" t="s">
        <v>3</v>
      </c>
      <c r="F495" s="49" t="s">
        <v>4</v>
      </c>
      <c r="G495" s="49" t="s">
        <v>5</v>
      </c>
      <c r="H495" s="49" t="s">
        <v>22</v>
      </c>
      <c r="I495" s="49" t="s">
        <v>5</v>
      </c>
      <c r="J495" s="49" t="s">
        <v>22</v>
      </c>
      <c r="K495" s="49" t="s">
        <v>6</v>
      </c>
      <c r="L495" s="49" t="s">
        <v>3</v>
      </c>
      <c r="M495" s="49" t="s">
        <v>4</v>
      </c>
      <c r="N495" s="49" t="s">
        <v>5</v>
      </c>
      <c r="O495" s="49" t="s">
        <v>22</v>
      </c>
      <c r="P495" s="49" t="s">
        <v>5</v>
      </c>
      <c r="Q495" s="49" t="s">
        <v>22</v>
      </c>
      <c r="R495" s="49" t="s">
        <v>6</v>
      </c>
      <c r="S495" s="49" t="s">
        <v>3</v>
      </c>
      <c r="T495" s="49" t="s">
        <v>4</v>
      </c>
      <c r="U495" s="49" t="s">
        <v>5</v>
      </c>
      <c r="V495" s="49" t="s">
        <v>22</v>
      </c>
      <c r="W495" s="49" t="s">
        <v>5</v>
      </c>
      <c r="X495" s="49" t="s">
        <v>22</v>
      </c>
      <c r="Y495" s="49" t="s">
        <v>6</v>
      </c>
      <c r="Z495" s="49" t="s">
        <v>3</v>
      </c>
      <c r="AA495" s="49" t="s">
        <v>4</v>
      </c>
      <c r="AB495" s="49" t="s">
        <v>5</v>
      </c>
      <c r="AC495" s="49" t="s">
        <v>22</v>
      </c>
      <c r="AD495" s="49" t="s">
        <v>5</v>
      </c>
      <c r="AE495" s="49" t="s">
        <v>22</v>
      </c>
      <c r="AF495" s="49" t="s">
        <v>6</v>
      </c>
      <c r="AG495" s="19" t="s">
        <v>11</v>
      </c>
      <c r="AH495" s="19" t="s">
        <v>9</v>
      </c>
    </row>
    <row r="496" spans="1:37">
      <c r="A496" s="12" t="s">
        <v>47</v>
      </c>
      <c r="E496" s="86">
        <v>873132.65</v>
      </c>
      <c r="F496" s="86">
        <v>891279.88</v>
      </c>
      <c r="G496" s="85">
        <v>960803.56</v>
      </c>
      <c r="H496" s="85">
        <v>1000192.7</v>
      </c>
      <c r="K496" s="85">
        <v>1077670.52</v>
      </c>
      <c r="L496" s="85">
        <v>1105849.17</v>
      </c>
      <c r="M496" s="85">
        <v>1153846.74</v>
      </c>
      <c r="N496" s="85">
        <v>1195329.75</v>
      </c>
      <c r="O496" s="85">
        <v>748271.14</v>
      </c>
      <c r="R496" s="85">
        <v>844915.79</v>
      </c>
      <c r="S496" s="85">
        <v>893992.85</v>
      </c>
      <c r="T496" s="85">
        <v>942919.01</v>
      </c>
      <c r="U496" s="85">
        <v>983476.26</v>
      </c>
      <c r="V496" s="12">
        <v>1057981.5900000001</v>
      </c>
      <c r="Y496" s="86">
        <v>1212776.01</v>
      </c>
      <c r="Z496" s="86">
        <v>1328718.2</v>
      </c>
      <c r="AA496" s="12">
        <v>798088.03</v>
      </c>
      <c r="AB496" s="86">
        <v>868768.5</v>
      </c>
      <c r="AC496" s="86">
        <v>918982.44</v>
      </c>
      <c r="AD496" s="89"/>
      <c r="AE496" s="89"/>
      <c r="AF496" s="86">
        <v>1004224.55</v>
      </c>
      <c r="AG496" s="91">
        <f>SUM(E496:AF496)</f>
        <v>19861219.340000004</v>
      </c>
      <c r="AH496" s="91">
        <f>AVERAGE(E496:AF496)</f>
        <v>993060.96700000018</v>
      </c>
    </row>
    <row r="497" spans="1:37">
      <c r="A497" s="12" t="s">
        <v>18</v>
      </c>
      <c r="E497" s="12">
        <v>43204.17000000002</v>
      </c>
      <c r="F497" s="12">
        <v>429251.68000000028</v>
      </c>
      <c r="G497" s="12">
        <v>342093.21000000014</v>
      </c>
      <c r="H497" s="12">
        <v>342093.21000000014</v>
      </c>
      <c r="K497" s="58">
        <v>273110.0900000002</v>
      </c>
      <c r="L497" s="12">
        <v>-293821.55999999947</v>
      </c>
      <c r="M497" s="12">
        <v>-288886.85999999946</v>
      </c>
      <c r="N497" s="12">
        <v>-302394.74999999948</v>
      </c>
      <c r="O497" s="12">
        <v>-307682.9199999994</v>
      </c>
      <c r="R497" s="12">
        <v>-312831.62999999966</v>
      </c>
      <c r="S497" s="12">
        <v>-123124.13999999949</v>
      </c>
      <c r="T497" s="12">
        <v>364583.53000000026</v>
      </c>
      <c r="U497" s="12">
        <v>310529.67000000033</v>
      </c>
      <c r="V497" s="12">
        <v>225861.26</v>
      </c>
      <c r="Y497" s="12">
        <v>216661.93000000028</v>
      </c>
      <c r="Z497" s="12">
        <v>-490748.58</v>
      </c>
      <c r="AA497" s="12">
        <v>-499541.9200000001</v>
      </c>
      <c r="AB497" s="12">
        <v>-1002233.7100000003</v>
      </c>
      <c r="AC497" s="12">
        <v>-320017.46000000031</v>
      </c>
      <c r="AF497" s="12">
        <v>370670.11</v>
      </c>
      <c r="AG497" s="91">
        <f t="shared" ref="AG497:AG498" si="69">SUM(E497:AF497)</f>
        <v>-1023224.6699999961</v>
      </c>
      <c r="AH497" s="91">
        <f>AVERAGE(E497:AF497)</f>
        <v>-51161.233499999806</v>
      </c>
    </row>
    <row r="498" spans="1:37">
      <c r="A498" t="s">
        <v>21</v>
      </c>
      <c r="E498" s="16">
        <v>400000</v>
      </c>
      <c r="F498" s="16">
        <v>0</v>
      </c>
      <c r="G498" s="16">
        <v>0</v>
      </c>
      <c r="H498" s="16">
        <v>0</v>
      </c>
      <c r="I498" s="16"/>
      <c r="J498" s="16"/>
      <c r="K498" s="16">
        <v>0</v>
      </c>
      <c r="L498" s="16">
        <v>0</v>
      </c>
      <c r="M498" s="16">
        <v>0</v>
      </c>
      <c r="N498" s="16">
        <v>0</v>
      </c>
      <c r="O498" s="16">
        <v>500000</v>
      </c>
      <c r="P498" s="16"/>
      <c r="Q498" s="16"/>
      <c r="R498" s="16">
        <v>500000</v>
      </c>
      <c r="S498" s="16">
        <v>500000</v>
      </c>
      <c r="T498" s="16">
        <v>0</v>
      </c>
      <c r="U498" s="16">
        <v>0</v>
      </c>
      <c r="V498" s="16">
        <v>0</v>
      </c>
      <c r="W498" s="16"/>
      <c r="X498" s="16"/>
      <c r="Y498" s="16">
        <v>0</v>
      </c>
      <c r="Z498" s="16">
        <v>0</v>
      </c>
      <c r="AA498" s="16">
        <v>600000</v>
      </c>
      <c r="AB498" s="16">
        <v>600000</v>
      </c>
      <c r="AC498" s="16">
        <v>0</v>
      </c>
      <c r="AD498" s="16"/>
      <c r="AE498" s="16"/>
      <c r="AF498" s="16">
        <v>0</v>
      </c>
      <c r="AG498" s="102">
        <f t="shared" si="69"/>
        <v>3100000</v>
      </c>
      <c r="AH498" s="16"/>
    </row>
    <row r="499" spans="1:37">
      <c r="A499" t="s">
        <v>122</v>
      </c>
      <c r="E499" s="12">
        <f>SUM(E496:E498)</f>
        <v>1316336.82</v>
      </c>
      <c r="F499" s="12">
        <f t="shared" ref="F499:AF499" si="70">SUM(F496:F498)</f>
        <v>1320531.5600000003</v>
      </c>
      <c r="G499" s="12">
        <f t="shared" si="70"/>
        <v>1302896.7700000003</v>
      </c>
      <c r="H499" s="12">
        <f t="shared" si="70"/>
        <v>1342285.9100000001</v>
      </c>
      <c r="I499" s="12">
        <f t="shared" si="70"/>
        <v>0</v>
      </c>
      <c r="J499" s="12">
        <f t="shared" si="70"/>
        <v>0</v>
      </c>
      <c r="K499" s="12">
        <f t="shared" si="70"/>
        <v>1350780.6100000003</v>
      </c>
      <c r="L499" s="12">
        <f t="shared" si="70"/>
        <v>812027.61000000045</v>
      </c>
      <c r="M499" s="12">
        <f t="shared" si="70"/>
        <v>864959.88000000059</v>
      </c>
      <c r="N499" s="12">
        <f t="shared" si="70"/>
        <v>892935.00000000047</v>
      </c>
      <c r="O499" s="12">
        <f t="shared" si="70"/>
        <v>940588.22000000067</v>
      </c>
      <c r="P499" s="12">
        <f t="shared" si="70"/>
        <v>0</v>
      </c>
      <c r="Q499" s="12">
        <f t="shared" si="70"/>
        <v>0</v>
      </c>
      <c r="R499" s="12">
        <f t="shared" si="70"/>
        <v>1032084.1600000004</v>
      </c>
      <c r="S499" s="12">
        <f t="shared" si="70"/>
        <v>1270868.7100000004</v>
      </c>
      <c r="T499" s="12">
        <f t="shared" si="70"/>
        <v>1307502.5400000003</v>
      </c>
      <c r="U499" s="12">
        <f t="shared" si="70"/>
        <v>1294005.9300000004</v>
      </c>
      <c r="V499" s="12">
        <f t="shared" si="70"/>
        <v>1283842.8500000001</v>
      </c>
      <c r="W499" s="12">
        <f t="shared" si="70"/>
        <v>0</v>
      </c>
      <c r="X499" s="12">
        <f t="shared" si="70"/>
        <v>0</v>
      </c>
      <c r="Y499" s="12">
        <f t="shared" si="70"/>
        <v>1429437.9400000004</v>
      </c>
      <c r="Z499" s="12">
        <f t="shared" si="70"/>
        <v>837969.61999999988</v>
      </c>
      <c r="AA499" s="12">
        <f t="shared" si="70"/>
        <v>898546.10999999987</v>
      </c>
      <c r="AB499" s="12">
        <f t="shared" si="70"/>
        <v>466534.78999999969</v>
      </c>
      <c r="AC499" s="12">
        <f t="shared" si="70"/>
        <v>598964.97999999963</v>
      </c>
      <c r="AD499" s="12">
        <f t="shared" si="70"/>
        <v>0</v>
      </c>
      <c r="AE499" s="12">
        <f t="shared" si="70"/>
        <v>0</v>
      </c>
      <c r="AF499" s="12">
        <f t="shared" si="70"/>
        <v>1374894.6600000001</v>
      </c>
      <c r="AG499" s="91">
        <f>SUM(AG496:AG498)</f>
        <v>21937994.670000009</v>
      </c>
      <c r="AH499" s="91">
        <f>SUM(AH496:AH498)</f>
        <v>941899.73350000032</v>
      </c>
    </row>
    <row r="502" spans="1:37">
      <c r="A502" s="18" t="s">
        <v>48</v>
      </c>
      <c r="E502" s="12">
        <f>+E496-AI479</f>
        <v>59409.560000000056</v>
      </c>
      <c r="F502" s="12">
        <f>+F496-E496</f>
        <v>18147.229999999981</v>
      </c>
      <c r="G502" s="12">
        <f>+G496-F496</f>
        <v>69523.680000000051</v>
      </c>
      <c r="H502" s="12">
        <f>+H496-G496</f>
        <v>39389.139999999898</v>
      </c>
      <c r="K502" s="12">
        <f>+K496-H496</f>
        <v>77477.820000000065</v>
      </c>
      <c r="L502" s="12">
        <f t="shared" ref="L502:N503" si="71">+L496-K496</f>
        <v>28178.649999999907</v>
      </c>
      <c r="M502" s="12">
        <f t="shared" si="71"/>
        <v>47997.570000000065</v>
      </c>
      <c r="N502" s="12">
        <f t="shared" si="71"/>
        <v>41483.010000000009</v>
      </c>
      <c r="O502" s="12">
        <f>+O496-N496+500000</f>
        <v>52941.390000000014</v>
      </c>
      <c r="R502" s="12">
        <f>+R496-O496</f>
        <v>96644.650000000023</v>
      </c>
      <c r="S502" s="12">
        <f>+S496-R496</f>
        <v>49077.059999999939</v>
      </c>
      <c r="T502" s="12">
        <f>+T496-S496</f>
        <v>48926.160000000033</v>
      </c>
      <c r="U502" s="12">
        <f>+U496-T496</f>
        <v>40557.25</v>
      </c>
      <c r="V502" s="12">
        <f>+V496-U496</f>
        <v>74505.330000000075</v>
      </c>
      <c r="Y502" s="12">
        <f>+Y496-V496</f>
        <v>154794.41999999993</v>
      </c>
      <c r="Z502" s="91">
        <f>+Z496-Y496</f>
        <v>115942.18999999994</v>
      </c>
      <c r="AA502" s="12">
        <f>+AA496-Z496+600000</f>
        <v>69369.830000000075</v>
      </c>
      <c r="AB502" s="12">
        <f>+AB496-AA496</f>
        <v>70680.469999999972</v>
      </c>
      <c r="AC502" s="12">
        <f>+AC496-AB496</f>
        <v>50213.939999999944</v>
      </c>
      <c r="AF502" s="12">
        <f>+AF496-AC496</f>
        <v>85242.110000000102</v>
      </c>
    </row>
    <row r="503" spans="1:37">
      <c r="A503" s="18" t="s">
        <v>49</v>
      </c>
      <c r="E503" s="16">
        <f>+E497-AI480</f>
        <v>-87918.710000000021</v>
      </c>
      <c r="F503" s="16">
        <f>+F497-E497-400000</f>
        <v>-13952.489999999758</v>
      </c>
      <c r="G503" s="16">
        <f>+G497-F497</f>
        <v>-87158.470000000147</v>
      </c>
      <c r="H503" s="16">
        <f>+H497-G497</f>
        <v>0</v>
      </c>
      <c r="I503" s="16"/>
      <c r="J503" s="16"/>
      <c r="K503" s="16">
        <f>+K497-H497</f>
        <v>-68983.119999999937</v>
      </c>
      <c r="L503" s="16">
        <f t="shared" si="71"/>
        <v>-566931.64999999967</v>
      </c>
      <c r="M503" s="16">
        <f t="shared" si="71"/>
        <v>4934.7000000000116</v>
      </c>
      <c r="N503" s="16">
        <f t="shared" si="71"/>
        <v>-13507.890000000014</v>
      </c>
      <c r="O503" s="16">
        <f>+O497-N497</f>
        <v>-5288.1699999999255</v>
      </c>
      <c r="P503" s="16"/>
      <c r="Q503" s="16"/>
      <c r="R503" s="16">
        <f>+R497-O497</f>
        <v>-5148.7100000002538</v>
      </c>
      <c r="S503" s="16">
        <f>+S497-R497</f>
        <v>189707.49000000017</v>
      </c>
      <c r="T503" s="16">
        <f>+T497-S497-500000</f>
        <v>-12292.330000000249</v>
      </c>
      <c r="U503" s="16">
        <f>+U497-T497</f>
        <v>-54053.859999999928</v>
      </c>
      <c r="V503" s="16">
        <f>+V497-U497</f>
        <v>-84668.410000000324</v>
      </c>
      <c r="W503" s="16"/>
      <c r="X503" s="16"/>
      <c r="Y503" s="16">
        <f>+Y497-V497</f>
        <v>-9199.3299999997253</v>
      </c>
      <c r="Z503" s="16">
        <f>+Z497-Y497</f>
        <v>-707410.51000000024</v>
      </c>
      <c r="AA503" s="16">
        <f>+AA497-Z497</f>
        <v>-8793.3400000000838</v>
      </c>
      <c r="AB503" s="16">
        <f>+AB497-AA497</f>
        <v>-502691.79000000021</v>
      </c>
      <c r="AC503" s="16">
        <f>+AC497-AB497-600000</f>
        <v>82216.25</v>
      </c>
      <c r="AD503" s="16"/>
      <c r="AE503" s="16"/>
      <c r="AF503" s="16">
        <f>+AF497-AC497</f>
        <v>690687.5700000003</v>
      </c>
    </row>
    <row r="504" spans="1:37">
      <c r="A504" t="s">
        <v>160</v>
      </c>
      <c r="E504" s="12">
        <f>SUM(E502:E503)</f>
        <v>-28509.149999999965</v>
      </c>
      <c r="F504" s="12">
        <f t="shared" ref="F504:AF504" si="72">SUM(F502:F503)</f>
        <v>4194.7400000002235</v>
      </c>
      <c r="G504" s="12">
        <f t="shared" si="72"/>
        <v>-17634.790000000095</v>
      </c>
      <c r="H504" s="12">
        <f t="shared" si="72"/>
        <v>39389.139999999898</v>
      </c>
      <c r="I504" s="12">
        <f t="shared" si="72"/>
        <v>0</v>
      </c>
      <c r="J504" s="12">
        <f t="shared" si="72"/>
        <v>0</v>
      </c>
      <c r="K504" s="12">
        <f t="shared" si="72"/>
        <v>8494.7000000001281</v>
      </c>
      <c r="L504" s="12">
        <f t="shared" si="72"/>
        <v>-538752.99999999977</v>
      </c>
      <c r="M504" s="12">
        <f t="shared" si="72"/>
        <v>52932.270000000077</v>
      </c>
      <c r="N504" s="12">
        <f t="shared" si="72"/>
        <v>27975.119999999995</v>
      </c>
      <c r="O504" s="12">
        <f t="shared" si="72"/>
        <v>47653.220000000088</v>
      </c>
      <c r="P504" s="12">
        <f t="shared" si="72"/>
        <v>0</v>
      </c>
      <c r="Q504" s="12">
        <f t="shared" si="72"/>
        <v>0</v>
      </c>
      <c r="R504" s="12">
        <f t="shared" si="72"/>
        <v>91495.939999999769</v>
      </c>
      <c r="S504" s="12">
        <f t="shared" si="72"/>
        <v>238784.5500000001</v>
      </c>
      <c r="T504" s="12">
        <f t="shared" si="72"/>
        <v>36633.829999999783</v>
      </c>
      <c r="U504" s="12">
        <f t="shared" si="72"/>
        <v>-13496.609999999928</v>
      </c>
      <c r="V504" s="12">
        <f t="shared" si="72"/>
        <v>-10163.080000000249</v>
      </c>
      <c r="W504" s="12">
        <f t="shared" si="72"/>
        <v>0</v>
      </c>
      <c r="X504" s="12">
        <f t="shared" si="72"/>
        <v>0</v>
      </c>
      <c r="Y504" s="12">
        <f t="shared" si="72"/>
        <v>145595.0900000002</v>
      </c>
      <c r="Z504" s="12">
        <f t="shared" si="72"/>
        <v>-591468.3200000003</v>
      </c>
      <c r="AA504" s="12">
        <f t="shared" si="72"/>
        <v>60576.489999999991</v>
      </c>
      <c r="AB504" s="12">
        <f t="shared" si="72"/>
        <v>-432011.32000000024</v>
      </c>
      <c r="AC504" s="12">
        <f t="shared" si="72"/>
        <v>132430.18999999994</v>
      </c>
      <c r="AD504" s="12">
        <f t="shared" si="72"/>
        <v>0</v>
      </c>
      <c r="AE504" s="12">
        <f t="shared" si="72"/>
        <v>0</v>
      </c>
      <c r="AF504" s="12">
        <f t="shared" si="72"/>
        <v>775929.6800000004</v>
      </c>
    </row>
    <row r="507" spans="1:37">
      <c r="L507" s="12" t="s">
        <v>156</v>
      </c>
      <c r="S507" s="12" t="s">
        <v>171</v>
      </c>
      <c r="V507" s="12" t="s">
        <v>183</v>
      </c>
      <c r="Z507" s="12" t="s">
        <v>184</v>
      </c>
      <c r="AF507" s="12" t="s">
        <v>187</v>
      </c>
    </row>
    <row r="508" spans="1:37">
      <c r="S508" s="12" t="s">
        <v>181</v>
      </c>
      <c r="Z508" s="12" t="s">
        <v>185</v>
      </c>
    </row>
    <row r="509" spans="1:37">
      <c r="Z509" s="12" t="s">
        <v>186</v>
      </c>
    </row>
    <row r="511" spans="1:37">
      <c r="H511" s="12" t="s">
        <v>110</v>
      </c>
    </row>
    <row r="512" spans="1:37">
      <c r="E512" s="28">
        <v>1</v>
      </c>
      <c r="F512" s="28">
        <v>2</v>
      </c>
      <c r="G512" s="28">
        <v>3</v>
      </c>
      <c r="H512" s="28">
        <v>4</v>
      </c>
      <c r="I512" s="28">
        <v>8</v>
      </c>
      <c r="J512" s="28">
        <v>9</v>
      </c>
      <c r="K512" s="28">
        <v>5</v>
      </c>
      <c r="L512" s="28">
        <v>8</v>
      </c>
      <c r="M512" s="28">
        <v>9</v>
      </c>
      <c r="N512" s="28">
        <v>10</v>
      </c>
      <c r="O512" s="28">
        <v>11</v>
      </c>
      <c r="P512" s="28">
        <v>12</v>
      </c>
      <c r="Q512" s="28">
        <v>12</v>
      </c>
      <c r="R512" s="28">
        <v>12</v>
      </c>
      <c r="S512" s="28">
        <v>15</v>
      </c>
      <c r="T512" s="28">
        <v>16</v>
      </c>
      <c r="U512" s="28">
        <v>17</v>
      </c>
      <c r="V512" s="28">
        <v>18</v>
      </c>
      <c r="W512" s="28">
        <v>20</v>
      </c>
      <c r="Y512" s="28">
        <v>19</v>
      </c>
      <c r="Z512" s="28">
        <v>22</v>
      </c>
      <c r="AA512" s="28">
        <v>23</v>
      </c>
      <c r="AB512" s="28">
        <v>24</v>
      </c>
      <c r="AC512" s="28">
        <v>25</v>
      </c>
      <c r="AF512" s="28">
        <v>26</v>
      </c>
      <c r="AG512" s="28">
        <v>29</v>
      </c>
      <c r="AH512" s="28">
        <v>30</v>
      </c>
      <c r="AI512" s="28">
        <v>31</v>
      </c>
      <c r="AJ512" s="19" t="s">
        <v>10</v>
      </c>
      <c r="AK512" s="19" t="s">
        <v>12</v>
      </c>
    </row>
    <row r="513" spans="1:37">
      <c r="A513" s="18" t="s">
        <v>40</v>
      </c>
      <c r="B513" s="18">
        <v>2013</v>
      </c>
      <c r="E513" s="49" t="s">
        <v>3</v>
      </c>
      <c r="F513" s="49" t="s">
        <v>4</v>
      </c>
      <c r="G513" s="49" t="s">
        <v>5</v>
      </c>
      <c r="H513" s="49" t="s">
        <v>22</v>
      </c>
      <c r="I513" s="49" t="s">
        <v>5</v>
      </c>
      <c r="J513" s="49" t="s">
        <v>22</v>
      </c>
      <c r="K513" s="49" t="s">
        <v>6</v>
      </c>
      <c r="L513" s="49" t="s">
        <v>3</v>
      </c>
      <c r="M513" s="49" t="s">
        <v>4</v>
      </c>
      <c r="N513" s="49" t="s">
        <v>5</v>
      </c>
      <c r="O513" s="49" t="s">
        <v>22</v>
      </c>
      <c r="P513" s="49" t="s">
        <v>5</v>
      </c>
      <c r="Q513" s="49" t="s">
        <v>22</v>
      </c>
      <c r="R513" s="49" t="s">
        <v>6</v>
      </c>
      <c r="S513" s="49" t="s">
        <v>3</v>
      </c>
      <c r="T513" s="49" t="s">
        <v>4</v>
      </c>
      <c r="U513" s="49" t="s">
        <v>5</v>
      </c>
      <c r="V513" s="49" t="s">
        <v>22</v>
      </c>
      <c r="W513" s="49" t="s">
        <v>5</v>
      </c>
      <c r="X513" s="49" t="s">
        <v>22</v>
      </c>
      <c r="Y513" s="49" t="s">
        <v>6</v>
      </c>
      <c r="Z513" s="49" t="s">
        <v>3</v>
      </c>
      <c r="AA513" s="49" t="s">
        <v>4</v>
      </c>
      <c r="AB513" s="49" t="s">
        <v>5</v>
      </c>
      <c r="AC513" s="49" t="s">
        <v>22</v>
      </c>
      <c r="AD513" s="49" t="s">
        <v>5</v>
      </c>
      <c r="AE513" s="49" t="s">
        <v>22</v>
      </c>
      <c r="AF513" s="49" t="s">
        <v>6</v>
      </c>
      <c r="AG513" s="49" t="s">
        <v>3</v>
      </c>
      <c r="AH513" s="49" t="s">
        <v>4</v>
      </c>
      <c r="AI513" s="49" t="s">
        <v>5</v>
      </c>
      <c r="AJ513" s="19" t="s">
        <v>11</v>
      </c>
      <c r="AK513" s="19" t="s">
        <v>9</v>
      </c>
    </row>
    <row r="514" spans="1:37">
      <c r="A514" s="12" t="s">
        <v>47</v>
      </c>
      <c r="E514" s="86">
        <v>1109429.68</v>
      </c>
      <c r="F514" s="86">
        <v>1142599.6799999999</v>
      </c>
      <c r="G514" s="86">
        <v>1188090.77</v>
      </c>
      <c r="H514" s="12">
        <v>0</v>
      </c>
      <c r="K514" s="86">
        <v>1235233.25</v>
      </c>
      <c r="L514" s="86">
        <v>1339551.3400000001</v>
      </c>
      <c r="M514" s="86">
        <v>1401039.36</v>
      </c>
      <c r="N514" s="86">
        <v>1141949.8400000001</v>
      </c>
      <c r="O514" s="86">
        <v>1199309.6399999999</v>
      </c>
      <c r="P514" s="89"/>
      <c r="Q514" s="89"/>
      <c r="R514" s="86">
        <v>1270874.43</v>
      </c>
      <c r="S514" s="86">
        <v>1331844.48</v>
      </c>
      <c r="T514" s="86">
        <v>1388476.4</v>
      </c>
      <c r="U514" s="86">
        <v>1427486.09</v>
      </c>
      <c r="V514" s="86">
        <v>1493936.2</v>
      </c>
      <c r="W514" s="89"/>
      <c r="X514" s="89"/>
      <c r="Y514" s="86">
        <v>1572426.82</v>
      </c>
      <c r="Z514" s="86">
        <v>1649879.52</v>
      </c>
      <c r="AA514" s="86">
        <v>1102439.67</v>
      </c>
      <c r="AB514" s="86">
        <v>1165491.8</v>
      </c>
      <c r="AC514" s="86">
        <v>1233610.3</v>
      </c>
      <c r="AF514" s="86">
        <v>1336025.6299999999</v>
      </c>
      <c r="AG514" s="86">
        <v>1409709.66</v>
      </c>
      <c r="AH514" s="86">
        <v>1168420.77</v>
      </c>
      <c r="AI514" s="86">
        <v>1231036.52</v>
      </c>
      <c r="AJ514" s="91">
        <f>SUM(E514:AI514)</f>
        <v>28538861.850000001</v>
      </c>
      <c r="AK514" s="91">
        <f>AVERAGE(E514:AI514)</f>
        <v>1240820.0804347827</v>
      </c>
    </row>
    <row r="515" spans="1:37">
      <c r="A515" s="12" t="s">
        <v>18</v>
      </c>
      <c r="E515" s="12">
        <v>370488.11</v>
      </c>
      <c r="F515" s="12">
        <v>406635.54</v>
      </c>
      <c r="G515" s="89">
        <v>446709.47000000009</v>
      </c>
      <c r="H515" s="12">
        <v>0</v>
      </c>
      <c r="K515" s="12">
        <v>446490.88000000018</v>
      </c>
      <c r="L515" s="12">
        <v>-130351.3</v>
      </c>
      <c r="M515" s="12">
        <v>-101291.58</v>
      </c>
      <c r="N515" s="12">
        <v>-113661.22000000023</v>
      </c>
      <c r="O515" s="12">
        <v>-128260.73000000027</v>
      </c>
      <c r="R515" s="12">
        <v>147139.75999999986</v>
      </c>
      <c r="S515" s="12">
        <v>165756.34999999992</v>
      </c>
      <c r="T515" s="89">
        <v>137036.47</v>
      </c>
      <c r="U515" s="12">
        <v>30106.010000000158</v>
      </c>
      <c r="V515" s="12">
        <v>14988.060000000249</v>
      </c>
      <c r="Y515" s="95">
        <v>-45309.040000000132</v>
      </c>
      <c r="Z515" s="12">
        <v>-620819.39</v>
      </c>
      <c r="AA515" s="12">
        <v>-638397.49999999988</v>
      </c>
      <c r="AB515" s="12">
        <v>-641886.56999999995</v>
      </c>
      <c r="AC515" s="12">
        <v>136232.35999999981</v>
      </c>
      <c r="AF515" s="12">
        <v>-10764.390000000012</v>
      </c>
      <c r="AG515" s="12">
        <v>-25709.940000000202</v>
      </c>
      <c r="AH515" s="12">
        <v>-33847.650000000111</v>
      </c>
      <c r="AI515" s="12">
        <v>-197765.29000000018</v>
      </c>
      <c r="AJ515" s="91">
        <f>SUM(E515:AI515)</f>
        <v>-386481.59000000078</v>
      </c>
      <c r="AK515" s="91">
        <f>AVERAGE(E515:AI515)</f>
        <v>-16803.547391304382</v>
      </c>
    </row>
    <row r="516" spans="1:37">
      <c r="A516" t="s">
        <v>21</v>
      </c>
      <c r="E516" s="16">
        <v>0</v>
      </c>
      <c r="F516" s="16">
        <v>0</v>
      </c>
      <c r="G516" s="16">
        <v>0</v>
      </c>
      <c r="H516" s="16">
        <v>0</v>
      </c>
      <c r="I516" s="16"/>
      <c r="J516" s="16"/>
      <c r="K516" s="16">
        <v>0</v>
      </c>
      <c r="L516" s="16">
        <v>0</v>
      </c>
      <c r="M516" s="16">
        <v>0</v>
      </c>
      <c r="N516" s="16">
        <v>300000</v>
      </c>
      <c r="O516" s="16">
        <v>300000</v>
      </c>
      <c r="P516" s="16"/>
      <c r="Q516" s="16"/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/>
      <c r="X516" s="16">
        <v>0</v>
      </c>
      <c r="Y516" s="16">
        <v>0</v>
      </c>
      <c r="Z516" s="16">
        <v>0</v>
      </c>
      <c r="AA516" s="16">
        <v>600000</v>
      </c>
      <c r="AB516" s="16">
        <v>600000</v>
      </c>
      <c r="AC516" s="16">
        <v>0</v>
      </c>
      <c r="AD516" s="16"/>
      <c r="AE516" s="16"/>
      <c r="AF516" s="16">
        <v>0</v>
      </c>
      <c r="AG516" s="16">
        <v>0</v>
      </c>
      <c r="AH516" s="16">
        <v>300000</v>
      </c>
      <c r="AI516" s="16">
        <v>300000</v>
      </c>
      <c r="AJ516" s="102">
        <f>SUM(E516:AI516)</f>
        <v>2400000</v>
      </c>
      <c r="AK516" s="16"/>
    </row>
    <row r="517" spans="1:37">
      <c r="A517" t="s">
        <v>122</v>
      </c>
      <c r="E517" s="12">
        <f>SUM(E514:E516)</f>
        <v>1479917.79</v>
      </c>
      <c r="F517" s="12">
        <f t="shared" ref="F517:AK517" si="73">SUM(F514:F516)</f>
        <v>1549235.22</v>
      </c>
      <c r="G517" s="12">
        <f t="shared" si="73"/>
        <v>1634800.2400000002</v>
      </c>
      <c r="H517" s="12">
        <f t="shared" si="73"/>
        <v>0</v>
      </c>
      <c r="I517" s="12">
        <f t="shared" si="73"/>
        <v>0</v>
      </c>
      <c r="J517" s="12">
        <f t="shared" si="73"/>
        <v>0</v>
      </c>
      <c r="K517" s="12">
        <f t="shared" si="73"/>
        <v>1681724.1300000001</v>
      </c>
      <c r="L517" s="12">
        <f t="shared" si="73"/>
        <v>1209200.04</v>
      </c>
      <c r="M517" s="12">
        <f t="shared" si="73"/>
        <v>1299747.78</v>
      </c>
      <c r="N517" s="12">
        <f t="shared" si="73"/>
        <v>1328288.6199999999</v>
      </c>
      <c r="O517" s="12">
        <f t="shared" si="73"/>
        <v>1371048.9099999997</v>
      </c>
      <c r="P517" s="12">
        <f t="shared" si="73"/>
        <v>0</v>
      </c>
      <c r="Q517" s="12">
        <f t="shared" si="73"/>
        <v>0</v>
      </c>
      <c r="R517" s="12">
        <f t="shared" si="73"/>
        <v>1418014.1899999997</v>
      </c>
      <c r="S517" s="12">
        <f t="shared" si="73"/>
        <v>1497600.8299999998</v>
      </c>
      <c r="T517" s="12">
        <f t="shared" si="73"/>
        <v>1525512.8699999999</v>
      </c>
      <c r="U517" s="12">
        <f t="shared" si="73"/>
        <v>1457592.1000000003</v>
      </c>
      <c r="V517" s="12">
        <f t="shared" si="73"/>
        <v>1508924.2600000002</v>
      </c>
      <c r="W517" s="12">
        <f t="shared" si="73"/>
        <v>0</v>
      </c>
      <c r="X517" s="12">
        <f t="shared" si="73"/>
        <v>0</v>
      </c>
      <c r="Y517" s="12">
        <f t="shared" si="73"/>
        <v>1527117.78</v>
      </c>
      <c r="Z517" s="12">
        <f t="shared" si="73"/>
        <v>1029060.13</v>
      </c>
      <c r="AA517" s="12">
        <f t="shared" si="73"/>
        <v>1064042.17</v>
      </c>
      <c r="AB517" s="12">
        <f t="shared" si="73"/>
        <v>1123605.23</v>
      </c>
      <c r="AC517" s="12">
        <f t="shared" si="73"/>
        <v>1369842.66</v>
      </c>
      <c r="AD517" s="12">
        <f t="shared" si="73"/>
        <v>0</v>
      </c>
      <c r="AE517" s="12">
        <f t="shared" si="73"/>
        <v>0</v>
      </c>
      <c r="AF517" s="12">
        <f t="shared" si="73"/>
        <v>1325261.24</v>
      </c>
      <c r="AG517" s="12">
        <f t="shared" si="73"/>
        <v>1383999.7199999997</v>
      </c>
      <c r="AH517" s="12">
        <f t="shared" si="73"/>
        <v>1434573.1199999999</v>
      </c>
      <c r="AI517" s="12">
        <f t="shared" si="73"/>
        <v>1333271.23</v>
      </c>
      <c r="AJ517" s="91">
        <f>SUM(AJ514:AJ516)</f>
        <v>30552380.260000002</v>
      </c>
      <c r="AK517" s="12">
        <f t="shared" si="73"/>
        <v>1224016.5330434784</v>
      </c>
    </row>
    <row r="520" spans="1:37">
      <c r="A520" s="18" t="s">
        <v>48</v>
      </c>
      <c r="E520" s="12">
        <f>+E514-AF496</f>
        <v>105205.12999999989</v>
      </c>
      <c r="F520" s="91">
        <f>+F514-E514</f>
        <v>33170</v>
      </c>
      <c r="G520" s="12">
        <f>+G514-F514</f>
        <v>45491.090000000084</v>
      </c>
      <c r="H520" s="12">
        <v>0</v>
      </c>
      <c r="K520" s="12">
        <f>+K514-G514</f>
        <v>47142.479999999981</v>
      </c>
      <c r="L520" s="12">
        <f>+L514-K514</f>
        <v>104318.09000000008</v>
      </c>
      <c r="M520" s="12">
        <f>+M514-L514</f>
        <v>61488.020000000019</v>
      </c>
      <c r="N520" s="12">
        <f>+N514-M514+300000</f>
        <v>40910.479999999981</v>
      </c>
      <c r="O520" s="12">
        <f>+O514-N514</f>
        <v>57359.799999999814</v>
      </c>
      <c r="R520" s="12">
        <f>+R514-O514</f>
        <v>71564.790000000037</v>
      </c>
      <c r="S520" s="12">
        <f t="shared" ref="S520:V521" si="74">+S514-R514</f>
        <v>60970.050000000047</v>
      </c>
      <c r="T520" s="12">
        <f t="shared" si="74"/>
        <v>56631.919999999925</v>
      </c>
      <c r="U520" s="12">
        <f t="shared" si="74"/>
        <v>39009.690000000177</v>
      </c>
      <c r="V520" s="12">
        <f t="shared" si="74"/>
        <v>66450.10999999987</v>
      </c>
      <c r="Y520" s="12">
        <f t="shared" ref="Y520:AA521" si="75">+Y514-X514</f>
        <v>1572426.82</v>
      </c>
      <c r="Z520" s="12">
        <f t="shared" si="75"/>
        <v>77452.699999999953</v>
      </c>
      <c r="AA520" s="12">
        <f>+AA514-Z514+600000</f>
        <v>52560.149999999907</v>
      </c>
      <c r="AB520" s="12">
        <f>+AB514-AA514</f>
        <v>63052.130000000121</v>
      </c>
      <c r="AC520" s="12">
        <f>+AC514-AB514</f>
        <v>68118.5</v>
      </c>
      <c r="AF520" s="12">
        <f>+AF514-AC514</f>
        <v>102415.32999999984</v>
      </c>
      <c r="AG520" s="12">
        <f>+AG514-AF514</f>
        <v>73684.030000000028</v>
      </c>
      <c r="AH520" s="12">
        <f>+AH514-AG514</f>
        <v>-241288.8899999999</v>
      </c>
      <c r="AI520" s="91">
        <f>+AI514-AH514</f>
        <v>62615.75</v>
      </c>
    </row>
    <row r="521" spans="1:37">
      <c r="A521" s="18" t="s">
        <v>49</v>
      </c>
      <c r="E521" s="16">
        <f>+E515-AF497</f>
        <v>-182</v>
      </c>
      <c r="F521" s="16">
        <f>+F515-E515</f>
        <v>36147.429999999993</v>
      </c>
      <c r="G521" s="16">
        <f>+G515-F515</f>
        <v>40073.930000000109</v>
      </c>
      <c r="H521" s="16">
        <v>0</v>
      </c>
      <c r="I521" s="16"/>
      <c r="J521" s="16"/>
      <c r="K521" s="16">
        <f>+K515-G515</f>
        <v>-218.5899999999092</v>
      </c>
      <c r="L521" s="16">
        <f>+L515-K515</f>
        <v>-576842.18000000017</v>
      </c>
      <c r="M521" s="16">
        <f>+M515-L515</f>
        <v>29059.72</v>
      </c>
      <c r="N521" s="16">
        <f>+N515-M515</f>
        <v>-12369.640000000232</v>
      </c>
      <c r="O521" s="16">
        <f>+O515-N515</f>
        <v>-14599.510000000038</v>
      </c>
      <c r="P521" s="16"/>
      <c r="Q521" s="16"/>
      <c r="R521" s="16">
        <f>+R515-O515-300000</f>
        <v>-24599.509999999893</v>
      </c>
      <c r="S521" s="16">
        <f t="shared" si="74"/>
        <v>18616.590000000055</v>
      </c>
      <c r="T521" s="16">
        <f t="shared" si="74"/>
        <v>-28719.879999999917</v>
      </c>
      <c r="U521" s="16">
        <f t="shared" si="74"/>
        <v>-106930.45999999985</v>
      </c>
      <c r="V521" s="16">
        <f t="shared" si="74"/>
        <v>-15117.94999999991</v>
      </c>
      <c r="W521" s="16"/>
      <c r="X521" s="16"/>
      <c r="Y521" s="16">
        <f t="shared" si="75"/>
        <v>-45309.040000000132</v>
      </c>
      <c r="Z521" s="16">
        <f t="shared" si="75"/>
        <v>-575510.34999999986</v>
      </c>
      <c r="AA521" s="16">
        <f t="shared" si="75"/>
        <v>-17578.10999999987</v>
      </c>
      <c r="AB521" s="16">
        <f>+AB515-AA515</f>
        <v>-3489.0700000000652</v>
      </c>
      <c r="AC521" s="16">
        <f>+AC515-AB515-600000</f>
        <v>178118.9299999997</v>
      </c>
      <c r="AD521" s="16"/>
      <c r="AE521" s="16"/>
      <c r="AF521" s="16">
        <f>+AF515-AC515</f>
        <v>-146996.74999999983</v>
      </c>
      <c r="AG521" s="16">
        <f>+AG515-AD515</f>
        <v>-25709.940000000202</v>
      </c>
      <c r="AH521" s="16">
        <f>+AH515-AE515</f>
        <v>-33847.650000000111</v>
      </c>
      <c r="AI521" s="16">
        <f>+AI515-AH515</f>
        <v>-163917.64000000007</v>
      </c>
      <c r="AJ521" s="16"/>
      <c r="AK521" s="16"/>
    </row>
    <row r="522" spans="1:37">
      <c r="A522" t="s">
        <v>160</v>
      </c>
      <c r="E522" s="12">
        <f>SUM(E520:E521)</f>
        <v>105023.12999999989</v>
      </c>
      <c r="F522" s="12">
        <f t="shared" ref="F522:AK522" si="76">SUM(F520:F521)</f>
        <v>69317.429999999993</v>
      </c>
      <c r="G522" s="12">
        <f t="shared" si="76"/>
        <v>85565.020000000193</v>
      </c>
      <c r="H522" s="12">
        <f t="shared" si="76"/>
        <v>0</v>
      </c>
      <c r="I522" s="12">
        <f t="shared" si="76"/>
        <v>0</v>
      </c>
      <c r="J522" s="12">
        <f t="shared" si="76"/>
        <v>0</v>
      </c>
      <c r="K522" s="12">
        <f t="shared" si="76"/>
        <v>46923.890000000072</v>
      </c>
      <c r="L522" s="12">
        <f t="shared" si="76"/>
        <v>-472524.09000000008</v>
      </c>
      <c r="M522" s="12">
        <f t="shared" si="76"/>
        <v>90547.74000000002</v>
      </c>
      <c r="N522" s="12">
        <f t="shared" si="76"/>
        <v>28540.839999999749</v>
      </c>
      <c r="O522" s="12">
        <f t="shared" si="76"/>
        <v>42760.289999999775</v>
      </c>
      <c r="P522" s="12">
        <f t="shared" si="76"/>
        <v>0</v>
      </c>
      <c r="Q522" s="12">
        <f t="shared" si="76"/>
        <v>0</v>
      </c>
      <c r="R522" s="12">
        <f t="shared" si="76"/>
        <v>46965.280000000144</v>
      </c>
      <c r="S522" s="12">
        <f t="shared" si="76"/>
        <v>79586.640000000101</v>
      </c>
      <c r="T522" s="12">
        <f t="shared" si="76"/>
        <v>27912.040000000008</v>
      </c>
      <c r="U522" s="12">
        <f t="shared" si="76"/>
        <v>-67920.769999999669</v>
      </c>
      <c r="V522" s="12">
        <f t="shared" si="76"/>
        <v>51332.15999999996</v>
      </c>
      <c r="W522" s="12">
        <f t="shared" si="76"/>
        <v>0</v>
      </c>
      <c r="X522" s="12">
        <f t="shared" si="76"/>
        <v>0</v>
      </c>
      <c r="Y522" s="12">
        <f t="shared" si="76"/>
        <v>1527117.78</v>
      </c>
      <c r="Z522" s="12">
        <f t="shared" si="76"/>
        <v>-498057.64999999991</v>
      </c>
      <c r="AA522" s="12">
        <f t="shared" si="76"/>
        <v>34982.040000000037</v>
      </c>
      <c r="AB522" s="12">
        <f t="shared" si="76"/>
        <v>59563.060000000056</v>
      </c>
      <c r="AC522" s="12">
        <f t="shared" si="76"/>
        <v>246237.4299999997</v>
      </c>
      <c r="AD522" s="12">
        <f t="shared" si="76"/>
        <v>0</v>
      </c>
      <c r="AE522" s="12">
        <f t="shared" si="76"/>
        <v>0</v>
      </c>
      <c r="AF522" s="12">
        <f t="shared" si="76"/>
        <v>-44581.419999999984</v>
      </c>
      <c r="AG522" s="12">
        <f t="shared" si="76"/>
        <v>47974.089999999822</v>
      </c>
      <c r="AH522" s="12">
        <f t="shared" si="76"/>
        <v>-275136.54000000004</v>
      </c>
      <c r="AI522" s="12">
        <f t="shared" si="76"/>
        <v>-101301.89000000007</v>
      </c>
      <c r="AJ522" s="12">
        <f t="shared" si="76"/>
        <v>0</v>
      </c>
      <c r="AK522" s="12">
        <f t="shared" si="76"/>
        <v>0</v>
      </c>
    </row>
    <row r="525" spans="1:37">
      <c r="F525" s="12" t="s">
        <v>188</v>
      </c>
    </row>
    <row r="526" spans="1:37">
      <c r="T526" s="12" t="s">
        <v>189</v>
      </c>
      <c r="AC526" s="12" t="s">
        <v>171</v>
      </c>
      <c r="AF526" s="12" t="s">
        <v>190</v>
      </c>
      <c r="AI526" s="12" t="s">
        <v>191</v>
      </c>
    </row>
    <row r="528" spans="1:37">
      <c r="E528" s="28">
        <v>1</v>
      </c>
      <c r="F528" s="28">
        <v>2</v>
      </c>
      <c r="G528" s="28">
        <v>5</v>
      </c>
      <c r="H528" s="28">
        <v>6</v>
      </c>
      <c r="I528" s="28">
        <v>8</v>
      </c>
      <c r="J528" s="28">
        <v>9</v>
      </c>
      <c r="K528" s="28">
        <v>7</v>
      </c>
      <c r="L528" s="28">
        <v>8</v>
      </c>
      <c r="M528" s="28">
        <v>9</v>
      </c>
      <c r="N528" s="28">
        <v>12</v>
      </c>
      <c r="O528" s="28">
        <v>13</v>
      </c>
      <c r="P528" s="28">
        <v>7</v>
      </c>
      <c r="R528" s="28">
        <v>14</v>
      </c>
      <c r="S528" s="28">
        <v>15</v>
      </c>
      <c r="T528" s="28">
        <v>16</v>
      </c>
      <c r="U528" s="28">
        <v>19</v>
      </c>
      <c r="V528" s="28">
        <v>20</v>
      </c>
      <c r="W528" s="28">
        <v>7</v>
      </c>
      <c r="X528" s="12">
        <v>21</v>
      </c>
      <c r="Y528" s="28">
        <v>21</v>
      </c>
      <c r="Z528" s="28">
        <v>22</v>
      </c>
      <c r="AA528" s="28">
        <v>23</v>
      </c>
      <c r="AB528" s="28">
        <v>26</v>
      </c>
      <c r="AC528" s="28">
        <v>27</v>
      </c>
      <c r="AD528" s="28">
        <v>7</v>
      </c>
      <c r="AE528" s="12">
        <v>21</v>
      </c>
      <c r="AF528" s="28">
        <v>28</v>
      </c>
      <c r="AG528" s="28">
        <v>29</v>
      </c>
      <c r="AH528" s="28">
        <v>30</v>
      </c>
      <c r="AI528" s="19" t="s">
        <v>10</v>
      </c>
      <c r="AJ528" s="19" t="s">
        <v>12</v>
      </c>
    </row>
    <row r="529" spans="1:36">
      <c r="A529" s="18" t="s">
        <v>41</v>
      </c>
      <c r="B529" s="18">
        <v>2013</v>
      </c>
      <c r="E529" s="49" t="s">
        <v>22</v>
      </c>
      <c r="F529" s="49" t="s">
        <v>6</v>
      </c>
      <c r="G529" s="49" t="s">
        <v>3</v>
      </c>
      <c r="H529" s="49" t="s">
        <v>4</v>
      </c>
      <c r="I529" s="49" t="s">
        <v>5</v>
      </c>
      <c r="J529" s="49" t="s">
        <v>22</v>
      </c>
      <c r="K529" s="49" t="s">
        <v>5</v>
      </c>
      <c r="L529" s="49" t="s">
        <v>22</v>
      </c>
      <c r="M529" s="49" t="s">
        <v>6</v>
      </c>
      <c r="N529" s="49" t="s">
        <v>3</v>
      </c>
      <c r="O529" s="49" t="s">
        <v>4</v>
      </c>
      <c r="P529" s="49" t="s">
        <v>5</v>
      </c>
      <c r="Q529" s="49" t="s">
        <v>22</v>
      </c>
      <c r="R529" s="49" t="s">
        <v>5</v>
      </c>
      <c r="S529" s="49" t="s">
        <v>22</v>
      </c>
      <c r="T529" s="49" t="s">
        <v>6</v>
      </c>
      <c r="U529" s="49" t="s">
        <v>3</v>
      </c>
      <c r="V529" s="49" t="s">
        <v>4</v>
      </c>
      <c r="W529" s="49" t="s">
        <v>5</v>
      </c>
      <c r="X529" s="49" t="s">
        <v>22</v>
      </c>
      <c r="Y529" s="49" t="s">
        <v>5</v>
      </c>
      <c r="Z529" s="49" t="s">
        <v>22</v>
      </c>
      <c r="AA529" s="49" t="s">
        <v>6</v>
      </c>
      <c r="AB529" s="49" t="s">
        <v>3</v>
      </c>
      <c r="AC529" s="49" t="s">
        <v>4</v>
      </c>
      <c r="AD529" s="49" t="s">
        <v>5</v>
      </c>
      <c r="AE529" s="49" t="s">
        <v>22</v>
      </c>
      <c r="AF529" s="49" t="s">
        <v>5</v>
      </c>
      <c r="AG529" s="49" t="s">
        <v>22</v>
      </c>
      <c r="AH529" s="49" t="s">
        <v>6</v>
      </c>
      <c r="AI529" s="19" t="s">
        <v>11</v>
      </c>
      <c r="AJ529" s="19" t="s">
        <v>9</v>
      </c>
    </row>
    <row r="530" spans="1:36">
      <c r="A530" s="12" t="s">
        <v>47</v>
      </c>
      <c r="E530" s="86">
        <v>1306560.23</v>
      </c>
      <c r="F530" s="86">
        <v>1372084.91</v>
      </c>
      <c r="G530" s="86">
        <v>1418626.9</v>
      </c>
      <c r="H530" s="86">
        <v>1491160.71</v>
      </c>
      <c r="K530" s="86">
        <v>1536119.99</v>
      </c>
      <c r="L530" s="86">
        <v>1110828.03</v>
      </c>
      <c r="M530" s="86">
        <v>1194683.72</v>
      </c>
      <c r="N530" s="86">
        <v>1267262.8400000001</v>
      </c>
      <c r="O530" s="86">
        <v>1298462.58</v>
      </c>
      <c r="R530" s="85">
        <v>1359850.83</v>
      </c>
      <c r="S530" s="85">
        <v>1417462.16</v>
      </c>
      <c r="T530" s="85">
        <v>1509296.28</v>
      </c>
      <c r="U530" s="86">
        <v>1589560.6</v>
      </c>
      <c r="V530" s="12">
        <v>1642533.24</v>
      </c>
      <c r="Y530" s="86">
        <v>1084988.6399999999</v>
      </c>
      <c r="Z530" s="86">
        <v>1167191.17</v>
      </c>
      <c r="AA530" s="86">
        <v>1249581.5900000001</v>
      </c>
      <c r="AB530" s="86">
        <v>1320582.58</v>
      </c>
      <c r="AC530" s="86">
        <v>1389134.18</v>
      </c>
      <c r="AF530" s="86">
        <v>1459899.39</v>
      </c>
      <c r="AG530" s="86">
        <v>1549828.45</v>
      </c>
      <c r="AH530" s="86">
        <v>1660612.66</v>
      </c>
      <c r="AI530" s="91">
        <f>SUM(E530:AH530)</f>
        <v>30396311.68</v>
      </c>
      <c r="AJ530" s="91">
        <f>AVERAGE(E530:AH530)</f>
        <v>1381650.530909091</v>
      </c>
    </row>
    <row r="531" spans="1:36">
      <c r="A531" s="12" t="s">
        <v>18</v>
      </c>
      <c r="E531" s="12">
        <v>5789.8800000000065</v>
      </c>
      <c r="F531" s="12">
        <v>12744.960000000125</v>
      </c>
      <c r="G531" s="12">
        <v>-573333.41999999958</v>
      </c>
      <c r="H531" s="12">
        <v>-579709.08999999962</v>
      </c>
      <c r="K531" s="12">
        <v>-578206.71999999962</v>
      </c>
      <c r="L531" s="12">
        <v>-633498.74999999953</v>
      </c>
      <c r="M531" s="12">
        <v>-564975.59</v>
      </c>
      <c r="N531" s="12">
        <v>-122570.10999999983</v>
      </c>
      <c r="O531" s="12">
        <v>-235095.78999999989</v>
      </c>
      <c r="R531" s="12">
        <v>-259987.00999999975</v>
      </c>
      <c r="S531" s="12">
        <v>-243568.97999999966</v>
      </c>
      <c r="T531" s="12">
        <v>-217825.58999999976</v>
      </c>
      <c r="U531" s="12">
        <v>-778757.71999999927</v>
      </c>
      <c r="V531" s="12">
        <v>-780641.62999999942</v>
      </c>
      <c r="Y531" s="12">
        <v>-802324.80999999924</v>
      </c>
      <c r="Z531" s="105">
        <v>-269862.15999999945</v>
      </c>
      <c r="AA531" s="58">
        <v>-274613.79999999964</v>
      </c>
      <c r="AB531" s="12">
        <v>-277222.18999999954</v>
      </c>
      <c r="AC531" s="12">
        <v>-294187.69999999995</v>
      </c>
      <c r="AF531" s="12">
        <v>-308340.79999999952</v>
      </c>
      <c r="AG531" s="12">
        <v>-319384.23999999953</v>
      </c>
      <c r="AH531" s="12">
        <v>-319497.83999999956</v>
      </c>
      <c r="AI531" s="91">
        <f>SUM(E531:AH531)</f>
        <v>-8415069.0999999922</v>
      </c>
      <c r="AJ531" s="91">
        <f>AVERAGE(E531:AH531)</f>
        <v>-382503.14090909058</v>
      </c>
    </row>
    <row r="532" spans="1:36">
      <c r="A532" t="s">
        <v>21</v>
      </c>
      <c r="E532" s="16">
        <v>0</v>
      </c>
      <c r="F532" s="16">
        <v>0</v>
      </c>
      <c r="G532" s="16">
        <v>0</v>
      </c>
      <c r="H532" s="16">
        <v>0</v>
      </c>
      <c r="I532" s="16"/>
      <c r="J532" s="16"/>
      <c r="K532" s="16">
        <v>0</v>
      </c>
      <c r="L532" s="16">
        <v>500000</v>
      </c>
      <c r="M532" s="16">
        <v>500000</v>
      </c>
      <c r="N532" s="16">
        <v>0</v>
      </c>
      <c r="O532" s="16">
        <v>0</v>
      </c>
      <c r="P532" s="16"/>
      <c r="Q532" s="16"/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/>
      <c r="X532" s="16"/>
      <c r="Y532" s="16">
        <v>600000</v>
      </c>
      <c r="Z532" s="16">
        <v>0</v>
      </c>
      <c r="AA532" s="16">
        <v>0</v>
      </c>
      <c r="AB532" s="16">
        <v>0</v>
      </c>
      <c r="AC532" s="16">
        <v>0</v>
      </c>
      <c r="AD532" s="16"/>
      <c r="AE532" s="16"/>
      <c r="AF532" s="16">
        <v>0</v>
      </c>
      <c r="AG532" s="16">
        <v>0</v>
      </c>
      <c r="AH532" s="16">
        <v>0</v>
      </c>
      <c r="AI532" s="102">
        <f>SUM(E532:AH532)</f>
        <v>1600000</v>
      </c>
      <c r="AJ532" s="16"/>
    </row>
    <row r="533" spans="1:36">
      <c r="A533" t="s">
        <v>122</v>
      </c>
      <c r="E533" s="12">
        <f>SUM(E530:E532)</f>
        <v>1312350.1100000001</v>
      </c>
      <c r="F533" s="12">
        <f t="shared" ref="F533:AH533" si="77">SUM(F530:F532)</f>
        <v>1384829.87</v>
      </c>
      <c r="G533" s="12">
        <f t="shared" si="77"/>
        <v>845293.48000000033</v>
      </c>
      <c r="H533" s="12">
        <f t="shared" si="77"/>
        <v>911451.62000000034</v>
      </c>
      <c r="I533" s="12">
        <f t="shared" si="77"/>
        <v>0</v>
      </c>
      <c r="J533" s="12">
        <f t="shared" si="77"/>
        <v>0</v>
      </c>
      <c r="K533" s="12">
        <f t="shared" si="77"/>
        <v>957913.27000000037</v>
      </c>
      <c r="L533" s="12">
        <f t="shared" si="77"/>
        <v>977329.28000000049</v>
      </c>
      <c r="M533" s="12">
        <f t="shared" si="77"/>
        <v>1129708.1299999999</v>
      </c>
      <c r="N533" s="12">
        <f t="shared" si="77"/>
        <v>1144692.7300000002</v>
      </c>
      <c r="O533" s="12">
        <f t="shared" si="77"/>
        <v>1063366.7900000003</v>
      </c>
      <c r="P533" s="12">
        <f t="shared" si="77"/>
        <v>0</v>
      </c>
      <c r="Q533" s="12">
        <f t="shared" si="77"/>
        <v>0</v>
      </c>
      <c r="R533" s="12">
        <f t="shared" si="77"/>
        <v>1099863.8200000003</v>
      </c>
      <c r="S533" s="12">
        <f t="shared" si="77"/>
        <v>1173893.1800000002</v>
      </c>
      <c r="T533" s="12">
        <f t="shared" si="77"/>
        <v>1291470.6900000002</v>
      </c>
      <c r="U533" s="12">
        <f t="shared" si="77"/>
        <v>810802.88000000082</v>
      </c>
      <c r="V533" s="12">
        <f t="shared" si="77"/>
        <v>861891.61000000057</v>
      </c>
      <c r="W533" s="12">
        <f t="shared" si="77"/>
        <v>0</v>
      </c>
      <c r="X533" s="12">
        <f t="shared" si="77"/>
        <v>0</v>
      </c>
      <c r="Y533" s="12">
        <f t="shared" si="77"/>
        <v>882663.83000000066</v>
      </c>
      <c r="Z533" s="12">
        <f t="shared" si="77"/>
        <v>897329.01000000047</v>
      </c>
      <c r="AA533" s="12">
        <f t="shared" si="77"/>
        <v>974967.7900000005</v>
      </c>
      <c r="AB533" s="12">
        <f t="shared" si="77"/>
        <v>1043360.3900000006</v>
      </c>
      <c r="AC533" s="12">
        <f t="shared" si="77"/>
        <v>1094946.48</v>
      </c>
      <c r="AD533" s="12">
        <f t="shared" si="77"/>
        <v>0</v>
      </c>
      <c r="AE533" s="12">
        <f t="shared" si="77"/>
        <v>0</v>
      </c>
      <c r="AF533" s="12">
        <f t="shared" si="77"/>
        <v>1151558.5900000003</v>
      </c>
      <c r="AG533" s="12">
        <f t="shared" si="77"/>
        <v>1230444.2100000004</v>
      </c>
      <c r="AH533" s="12">
        <f t="shared" si="77"/>
        <v>1341114.8200000003</v>
      </c>
      <c r="AI533" s="91">
        <f>SUM(AI530:AI532)</f>
        <v>23581242.580000006</v>
      </c>
      <c r="AJ533" s="91">
        <f>SUM(AJ530:AJ532)</f>
        <v>999147.39000000036</v>
      </c>
    </row>
    <row r="536" spans="1:36">
      <c r="A536" s="18" t="s">
        <v>48</v>
      </c>
      <c r="E536" s="12">
        <f>+E530-AI514</f>
        <v>75523.709999999963</v>
      </c>
      <c r="F536" s="12">
        <f t="shared" ref="F536:H537" si="78">+F530-E530</f>
        <v>65524.679999999935</v>
      </c>
      <c r="G536" s="12">
        <f t="shared" si="78"/>
        <v>46541.989999999991</v>
      </c>
      <c r="H536" s="12">
        <f t="shared" si="78"/>
        <v>72533.810000000056</v>
      </c>
      <c r="K536" s="12">
        <f>+K530-H530</f>
        <v>44959.280000000028</v>
      </c>
      <c r="L536" s="91">
        <f>+L530-K530+500000</f>
        <v>74708.040000000037</v>
      </c>
      <c r="M536" s="12">
        <f>+M530-L530</f>
        <v>83855.689999999944</v>
      </c>
      <c r="N536" s="91">
        <f>+N530-M530</f>
        <v>72579.120000000112</v>
      </c>
      <c r="O536" s="91">
        <f>+O530-N530</f>
        <v>31199.739999999991</v>
      </c>
      <c r="R536" s="12">
        <f>+R530-O530</f>
        <v>61388.25</v>
      </c>
      <c r="S536" s="12">
        <f t="shared" ref="S536:V537" si="79">+S530-R530</f>
        <v>57611.329999999842</v>
      </c>
      <c r="T536" s="12">
        <f t="shared" si="79"/>
        <v>91834.120000000112</v>
      </c>
      <c r="U536" s="12">
        <f t="shared" si="79"/>
        <v>80264.320000000065</v>
      </c>
      <c r="V536" s="12">
        <f t="shared" si="79"/>
        <v>52972.639999999898</v>
      </c>
      <c r="Y536" s="12">
        <f>+Y530-V530+600000</f>
        <v>42455.399999999907</v>
      </c>
      <c r="Z536" s="91">
        <f>+Z530-Y530</f>
        <v>82202.530000000028</v>
      </c>
      <c r="AA536" s="91">
        <f>+AA530-Z530</f>
        <v>82390.420000000158</v>
      </c>
      <c r="AB536" s="12">
        <f>+AB530-AA530</f>
        <v>71000.989999999991</v>
      </c>
      <c r="AC536" s="12">
        <f>+AC530-AB530</f>
        <v>68551.59999999986</v>
      </c>
      <c r="AF536" s="12">
        <f>+AF530-AC530</f>
        <v>70765.209999999963</v>
      </c>
      <c r="AG536" s="12">
        <f>+AG530-AF530</f>
        <v>89929.060000000056</v>
      </c>
      <c r="AH536" s="91">
        <f>+AH530-AG530</f>
        <v>110784.20999999996</v>
      </c>
    </row>
    <row r="537" spans="1:36">
      <c r="A537" s="18" t="s">
        <v>49</v>
      </c>
      <c r="E537" s="16">
        <f>+E531-AI515-300000</f>
        <v>-96444.829999999813</v>
      </c>
      <c r="F537" s="16">
        <f t="shared" si="78"/>
        <v>6955.0800000001182</v>
      </c>
      <c r="G537" s="16">
        <f t="shared" si="78"/>
        <v>-586078.37999999966</v>
      </c>
      <c r="H537" s="16">
        <f t="shared" si="78"/>
        <v>-6375.6700000000419</v>
      </c>
      <c r="I537" s="16"/>
      <c r="J537" s="16"/>
      <c r="K537" s="16">
        <f>+K531-H531</f>
        <v>1502.3699999999953</v>
      </c>
      <c r="L537" s="16">
        <f>+L531-K531</f>
        <v>-55292.029999999912</v>
      </c>
      <c r="M537" s="16">
        <f>+M531-L531</f>
        <v>68523.159999999567</v>
      </c>
      <c r="N537" s="16">
        <f>+N531-M531-500000</f>
        <v>-57594.519999999844</v>
      </c>
      <c r="O537" s="16">
        <f>+O531-N531</f>
        <v>-112525.68000000007</v>
      </c>
      <c r="P537" s="16"/>
      <c r="Q537" s="16"/>
      <c r="R537" s="16">
        <f>+R531-O531</f>
        <v>-24891.219999999856</v>
      </c>
      <c r="S537" s="16">
        <f t="shared" si="79"/>
        <v>16418.030000000086</v>
      </c>
      <c r="T537" s="16">
        <f t="shared" si="79"/>
        <v>25743.389999999898</v>
      </c>
      <c r="U537" s="16">
        <f t="shared" si="79"/>
        <v>-560932.12999999954</v>
      </c>
      <c r="V537" s="16">
        <f t="shared" si="79"/>
        <v>-1883.910000000149</v>
      </c>
      <c r="W537" s="16"/>
      <c r="X537" s="16"/>
      <c r="Y537" s="16">
        <f>+Y531-V531</f>
        <v>-21683.179999999818</v>
      </c>
      <c r="Z537" s="16">
        <f>+Z531-Y531-600000</f>
        <v>-67537.35000000021</v>
      </c>
      <c r="AA537" s="16">
        <f>+AA531-Z531</f>
        <v>-4751.6400000001886</v>
      </c>
      <c r="AB537" s="16">
        <f>+AB531-AA531</f>
        <v>-2608.3899999998976</v>
      </c>
      <c r="AC537" s="16">
        <f>+AC531-AB531</f>
        <v>-16965.510000000417</v>
      </c>
      <c r="AD537" s="16"/>
      <c r="AE537" s="16"/>
      <c r="AF537" s="16">
        <f>+AF531-AC531</f>
        <v>-14153.099999999569</v>
      </c>
      <c r="AG537" s="16">
        <f>+AG531-AF531</f>
        <v>-11043.440000000002</v>
      </c>
      <c r="AH537" s="16">
        <f>+AH531-AG531</f>
        <v>-113.60000000003492</v>
      </c>
      <c r="AI537" s="16"/>
      <c r="AJ537" s="16"/>
    </row>
    <row r="538" spans="1:36">
      <c r="A538" t="s">
        <v>160</v>
      </c>
      <c r="E538" s="12">
        <f>SUM(E536:E537)</f>
        <v>-20921.11999999985</v>
      </c>
      <c r="F538" s="12">
        <f>SUM(F536:F537)</f>
        <v>72479.760000000053</v>
      </c>
      <c r="G538" s="12">
        <f>SUM(G536:G537)</f>
        <v>-539536.38999999966</v>
      </c>
      <c r="H538" s="12">
        <f t="shared" ref="H538:AH538" si="80">SUM(H536:H537)</f>
        <v>66158.140000000014</v>
      </c>
      <c r="I538" s="12">
        <f t="shared" si="80"/>
        <v>0</v>
      </c>
      <c r="J538" s="12">
        <f t="shared" si="80"/>
        <v>0</v>
      </c>
      <c r="K538" s="12">
        <f t="shared" si="80"/>
        <v>46461.650000000023</v>
      </c>
      <c r="L538" s="12">
        <f t="shared" si="80"/>
        <v>19416.010000000126</v>
      </c>
      <c r="M538" s="12">
        <f t="shared" si="80"/>
        <v>152378.84999999951</v>
      </c>
      <c r="N538" s="12">
        <f t="shared" si="80"/>
        <v>14984.600000000268</v>
      </c>
      <c r="O538" s="12">
        <f t="shared" si="80"/>
        <v>-81325.940000000075</v>
      </c>
      <c r="P538" s="12">
        <f t="shared" si="80"/>
        <v>0</v>
      </c>
      <c r="Q538" s="12">
        <f t="shared" si="80"/>
        <v>0</v>
      </c>
      <c r="R538" s="12">
        <f t="shared" si="80"/>
        <v>36497.030000000144</v>
      </c>
      <c r="S538" s="12">
        <f t="shared" si="80"/>
        <v>74029.359999999928</v>
      </c>
      <c r="T538" s="12">
        <f t="shared" si="80"/>
        <v>117577.51000000001</v>
      </c>
      <c r="U538" s="12">
        <f t="shared" si="80"/>
        <v>-480667.80999999947</v>
      </c>
      <c r="V538" s="12">
        <f t="shared" si="80"/>
        <v>51088.729999999749</v>
      </c>
      <c r="W538" s="12">
        <f t="shared" si="80"/>
        <v>0</v>
      </c>
      <c r="X538" s="12">
        <f t="shared" si="80"/>
        <v>0</v>
      </c>
      <c r="Y538" s="12">
        <f t="shared" si="80"/>
        <v>20772.220000000088</v>
      </c>
      <c r="Z538" s="12">
        <f t="shared" si="80"/>
        <v>14665.179999999818</v>
      </c>
      <c r="AA538" s="12">
        <f t="shared" si="80"/>
        <v>77638.77999999997</v>
      </c>
      <c r="AB538" s="12">
        <f t="shared" si="80"/>
        <v>68392.600000000093</v>
      </c>
      <c r="AC538" s="12">
        <f t="shared" si="80"/>
        <v>51586.089999999444</v>
      </c>
      <c r="AD538" s="12">
        <f t="shared" si="80"/>
        <v>0</v>
      </c>
      <c r="AE538" s="12">
        <f t="shared" si="80"/>
        <v>0</v>
      </c>
      <c r="AF538" s="12">
        <f t="shared" si="80"/>
        <v>56612.110000000393</v>
      </c>
      <c r="AG538" s="12">
        <f t="shared" si="80"/>
        <v>78885.620000000054</v>
      </c>
      <c r="AH538" s="12">
        <f t="shared" si="80"/>
        <v>110670.60999999993</v>
      </c>
      <c r="AI538" s="12">
        <v>0</v>
      </c>
      <c r="AJ538" s="12">
        <v>0</v>
      </c>
    </row>
    <row r="541" spans="1:36">
      <c r="E541" s="12" t="s">
        <v>110</v>
      </c>
    </row>
    <row r="542" spans="1:36">
      <c r="E542" s="28">
        <v>2</v>
      </c>
      <c r="F542" s="28">
        <v>3</v>
      </c>
      <c r="G542" s="28">
        <v>4</v>
      </c>
      <c r="H542" s="28">
        <v>5</v>
      </c>
      <c r="I542" s="28">
        <v>9</v>
      </c>
      <c r="J542" s="28">
        <v>5</v>
      </c>
      <c r="K542" s="28">
        <v>6</v>
      </c>
      <c r="L542" s="28">
        <v>9</v>
      </c>
      <c r="M542" s="28">
        <v>10</v>
      </c>
      <c r="N542" s="28">
        <v>11</v>
      </c>
      <c r="O542" s="28">
        <v>12</v>
      </c>
      <c r="P542" s="28">
        <v>12</v>
      </c>
      <c r="Q542" s="28">
        <v>12</v>
      </c>
      <c r="R542" s="28">
        <v>13</v>
      </c>
      <c r="S542" s="28">
        <v>16</v>
      </c>
      <c r="T542" s="28">
        <v>17</v>
      </c>
      <c r="U542" s="28">
        <v>18</v>
      </c>
      <c r="V542" s="28">
        <v>19</v>
      </c>
      <c r="X542" s="28">
        <v>20</v>
      </c>
      <c r="Y542" s="28">
        <v>20</v>
      </c>
      <c r="Z542" s="28">
        <v>23</v>
      </c>
      <c r="AA542" s="28">
        <v>24</v>
      </c>
      <c r="AB542" s="28">
        <v>25</v>
      </c>
      <c r="AC542" s="28">
        <v>26</v>
      </c>
      <c r="AD542" s="28">
        <v>27</v>
      </c>
      <c r="AE542" s="28">
        <v>26</v>
      </c>
      <c r="AF542" s="28">
        <v>27</v>
      </c>
      <c r="AG542" s="28">
        <v>30</v>
      </c>
      <c r="AH542" s="19" t="s">
        <v>10</v>
      </c>
      <c r="AI542" s="19" t="s">
        <v>12</v>
      </c>
    </row>
    <row r="543" spans="1:36">
      <c r="A543" s="18" t="s">
        <v>42</v>
      </c>
      <c r="B543" s="18">
        <v>2013</v>
      </c>
      <c r="E543" s="49" t="s">
        <v>3</v>
      </c>
      <c r="F543" s="49" t="s">
        <v>4</v>
      </c>
      <c r="G543" s="49" t="s">
        <v>5</v>
      </c>
      <c r="H543" s="49" t="s">
        <v>22</v>
      </c>
      <c r="K543" s="49" t="s">
        <v>6</v>
      </c>
      <c r="L543" s="49" t="s">
        <v>3</v>
      </c>
      <c r="M543" s="49" t="s">
        <v>4</v>
      </c>
      <c r="N543" s="49" t="s">
        <v>5</v>
      </c>
      <c r="O543" s="49" t="s">
        <v>22</v>
      </c>
      <c r="R543" s="49" t="s">
        <v>6</v>
      </c>
      <c r="S543" s="49" t="s">
        <v>3</v>
      </c>
      <c r="T543" s="49" t="s">
        <v>4</v>
      </c>
      <c r="U543" s="49" t="s">
        <v>5</v>
      </c>
      <c r="V543" s="49" t="s">
        <v>22</v>
      </c>
      <c r="Y543" s="49" t="s">
        <v>6</v>
      </c>
      <c r="Z543" s="49" t="s">
        <v>3</v>
      </c>
      <c r="AA543" s="49" t="s">
        <v>4</v>
      </c>
      <c r="AB543" s="49" t="s">
        <v>5</v>
      </c>
      <c r="AC543" s="49" t="s">
        <v>22</v>
      </c>
      <c r="AF543" s="49" t="s">
        <v>6</v>
      </c>
      <c r="AG543" s="49" t="s">
        <v>3</v>
      </c>
      <c r="AH543" s="19" t="s">
        <v>11</v>
      </c>
      <c r="AI543" s="19" t="s">
        <v>9</v>
      </c>
    </row>
    <row r="544" spans="1:36">
      <c r="A544" s="12" t="s">
        <v>47</v>
      </c>
      <c r="F544" s="85">
        <v>1701800.69</v>
      </c>
      <c r="G544" s="85">
        <v>1764703.86</v>
      </c>
      <c r="H544" s="85">
        <v>1136121.26</v>
      </c>
      <c r="K544" s="85">
        <v>1200694.6100000001</v>
      </c>
      <c r="L544" s="12">
        <v>1317568.02</v>
      </c>
      <c r="M544" s="12">
        <v>1352529.07</v>
      </c>
      <c r="N544" s="93">
        <v>1406274.03</v>
      </c>
      <c r="O544" s="89">
        <v>1507638.38</v>
      </c>
      <c r="P544" s="89"/>
      <c r="Q544" s="89"/>
      <c r="R544" s="89">
        <v>1552771.31</v>
      </c>
      <c r="S544" s="86">
        <v>1616772.76</v>
      </c>
      <c r="T544" s="86">
        <v>1078086.1599999999</v>
      </c>
      <c r="U544" s="86">
        <v>1134647.68</v>
      </c>
      <c r="V544" s="86">
        <v>1233813.48</v>
      </c>
      <c r="Y544" s="86">
        <v>1339553.1299999999</v>
      </c>
      <c r="Z544" s="86">
        <v>1417582.17</v>
      </c>
      <c r="AA544" s="86">
        <v>1482233.4</v>
      </c>
      <c r="AB544" s="86">
        <v>1536886.31</v>
      </c>
      <c r="AC544" s="86">
        <v>1603811.79</v>
      </c>
      <c r="AF544" s="85">
        <v>1722248.03</v>
      </c>
      <c r="AG544" s="85">
        <v>1762136.33</v>
      </c>
    </row>
    <row r="545" spans="1:37">
      <c r="A545" s="12" t="s">
        <v>18</v>
      </c>
      <c r="F545" s="12">
        <v>-707614.11999999965</v>
      </c>
      <c r="G545" s="12">
        <v>-712399.60999999975</v>
      </c>
      <c r="H545" s="12">
        <v>-882874.81000000017</v>
      </c>
      <c r="K545" s="12">
        <v>52925.769999999677</v>
      </c>
      <c r="L545" s="12">
        <v>21860.83</v>
      </c>
      <c r="M545" s="12">
        <v>12040.7</v>
      </c>
      <c r="N545" s="12">
        <v>-8210.86</v>
      </c>
      <c r="O545" s="12">
        <v>-21859.919999999998</v>
      </c>
      <c r="R545" s="12">
        <v>-98849.17</v>
      </c>
      <c r="S545" s="12">
        <v>-665650.64</v>
      </c>
      <c r="T545" s="12">
        <v>-666130.69000000006</v>
      </c>
      <c r="U545" s="12">
        <v>-343516.32999999973</v>
      </c>
      <c r="V545" s="12">
        <v>193508.05999999988</v>
      </c>
      <c r="Y545" s="12">
        <v>156308.3400000002</v>
      </c>
      <c r="Z545" s="12">
        <v>138798.39000000019</v>
      </c>
      <c r="AA545" s="12">
        <v>172559.39000000016</v>
      </c>
      <c r="AB545" s="89">
        <v>153460.62000000002</v>
      </c>
      <c r="AC545" s="12">
        <v>216428.46999999997</v>
      </c>
      <c r="AF545" s="12">
        <v>328482.17999999988</v>
      </c>
      <c r="AG545" s="12">
        <v>-251745.19000000012</v>
      </c>
    </row>
    <row r="546" spans="1:37">
      <c r="A546" t="s">
        <v>21</v>
      </c>
      <c r="E546" s="16"/>
      <c r="F546" s="16">
        <v>0</v>
      </c>
      <c r="G546" s="16">
        <v>0</v>
      </c>
      <c r="H546" s="16">
        <v>700000</v>
      </c>
      <c r="I546" s="16"/>
      <c r="J546" s="16"/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/>
      <c r="Q546" s="16"/>
      <c r="R546" s="16">
        <v>0</v>
      </c>
      <c r="S546" s="16">
        <v>0</v>
      </c>
      <c r="T546" s="16">
        <v>600000</v>
      </c>
      <c r="U546" s="16">
        <v>600000</v>
      </c>
      <c r="V546" s="16">
        <v>0</v>
      </c>
      <c r="W546" s="16"/>
      <c r="X546" s="16"/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/>
      <c r="AE546" s="16"/>
      <c r="AF546" s="16">
        <v>0</v>
      </c>
      <c r="AG546" s="16">
        <v>0</v>
      </c>
      <c r="AH546" s="16"/>
      <c r="AI546" s="16"/>
    </row>
    <row r="547" spans="1:37">
      <c r="A547" t="s">
        <v>122</v>
      </c>
      <c r="E547" s="12">
        <f>SUM(E544:E546)</f>
        <v>0</v>
      </c>
      <c r="F547" s="12">
        <f>SUM(F544:F546)</f>
        <v>994186.5700000003</v>
      </c>
      <c r="G547" s="12">
        <f>SUM(G544:G546)</f>
        <v>1052304.2500000005</v>
      </c>
      <c r="H547" s="12">
        <f>SUM(H544:H546)</f>
        <v>953246.44999999984</v>
      </c>
      <c r="K547" s="12">
        <f t="shared" ref="K547:AI547" si="81">SUM(K544:K546)</f>
        <v>1253620.3799999999</v>
      </c>
      <c r="L547" s="12">
        <f t="shared" si="81"/>
        <v>1339428.8500000001</v>
      </c>
      <c r="M547" s="12">
        <f t="shared" si="81"/>
        <v>1364569.77</v>
      </c>
      <c r="N547" s="12">
        <f t="shared" si="81"/>
        <v>1398063.17</v>
      </c>
      <c r="O547" s="12">
        <f t="shared" si="81"/>
        <v>1485778.46</v>
      </c>
      <c r="P547" s="12">
        <f t="shared" si="81"/>
        <v>0</v>
      </c>
      <c r="Q547" s="12">
        <f t="shared" si="81"/>
        <v>0</v>
      </c>
      <c r="R547" s="12">
        <f t="shared" si="81"/>
        <v>1453922.1400000001</v>
      </c>
      <c r="S547" s="12">
        <f t="shared" si="81"/>
        <v>951122.12</v>
      </c>
      <c r="T547" s="12">
        <f t="shared" si="81"/>
        <v>1011955.4699999999</v>
      </c>
      <c r="U547" s="12">
        <f t="shared" si="81"/>
        <v>1391131.35</v>
      </c>
      <c r="V547" s="12">
        <f t="shared" si="81"/>
        <v>1427321.5399999998</v>
      </c>
      <c r="W547" s="12">
        <f t="shared" si="81"/>
        <v>0</v>
      </c>
      <c r="X547" s="12">
        <f t="shared" si="81"/>
        <v>0</v>
      </c>
      <c r="Y547" s="12">
        <f t="shared" si="81"/>
        <v>1495861.4700000002</v>
      </c>
      <c r="Z547" s="12">
        <f t="shared" si="81"/>
        <v>1556380.56</v>
      </c>
      <c r="AA547" s="12">
        <f t="shared" si="81"/>
        <v>1654792.79</v>
      </c>
      <c r="AB547" s="12">
        <f t="shared" si="81"/>
        <v>1690346.9300000002</v>
      </c>
      <c r="AC547" s="12">
        <f t="shared" si="81"/>
        <v>1820240.26</v>
      </c>
      <c r="AD547" s="12">
        <f t="shared" si="81"/>
        <v>0</v>
      </c>
      <c r="AE547" s="12">
        <f t="shared" si="81"/>
        <v>0</v>
      </c>
      <c r="AF547" s="12">
        <f t="shared" si="81"/>
        <v>2050730.21</v>
      </c>
      <c r="AG547" s="12">
        <f t="shared" si="81"/>
        <v>1510391.14</v>
      </c>
      <c r="AH547" s="12">
        <f t="shared" si="81"/>
        <v>0</v>
      </c>
      <c r="AI547" s="12">
        <f t="shared" si="81"/>
        <v>0</v>
      </c>
    </row>
    <row r="548" spans="1:37">
      <c r="G548" s="85"/>
    </row>
    <row r="550" spans="1:37">
      <c r="A550" s="18" t="s">
        <v>48</v>
      </c>
      <c r="F550" s="12">
        <f>+F544-AH530</f>
        <v>41188.030000000028</v>
      </c>
      <c r="G550" s="12">
        <f>+G544-F544</f>
        <v>62903.170000000158</v>
      </c>
      <c r="H550" s="12">
        <f>+H544-G544+700000</f>
        <v>71417.399999999907</v>
      </c>
      <c r="K550" s="12">
        <f>+K544-H544</f>
        <v>64573.350000000093</v>
      </c>
      <c r="L550" s="12">
        <f t="shared" ref="L550:N551" si="82">L544-K544</f>
        <v>116873.40999999992</v>
      </c>
      <c r="M550" s="12">
        <f t="shared" si="82"/>
        <v>34961.050000000047</v>
      </c>
      <c r="N550" s="12">
        <f t="shared" si="82"/>
        <v>53744.959999999963</v>
      </c>
      <c r="O550" s="12">
        <f>O544-N544</f>
        <v>101364.34999999986</v>
      </c>
      <c r="R550" s="12">
        <f>R544-O544</f>
        <v>45132.930000000168</v>
      </c>
      <c r="S550" s="12">
        <f>+S544-R544</f>
        <v>64001.449999999953</v>
      </c>
      <c r="T550" s="12">
        <f>+T544-S544+600000</f>
        <v>61313.399999999907</v>
      </c>
      <c r="U550" s="12">
        <f>+U544-T544</f>
        <v>56561.520000000019</v>
      </c>
      <c r="V550" s="91">
        <f>+V544-U544</f>
        <v>99165.800000000047</v>
      </c>
      <c r="Y550" s="12">
        <f>+Y544-V544</f>
        <v>105739.64999999991</v>
      </c>
      <c r="Z550" s="12">
        <f t="shared" ref="Z550:AB551" si="83">+Z544-Y544</f>
        <v>78029.040000000037</v>
      </c>
      <c r="AA550" s="12">
        <f t="shared" si="83"/>
        <v>64651.229999999981</v>
      </c>
      <c r="AB550" s="12">
        <f t="shared" si="83"/>
        <v>54652.910000000149</v>
      </c>
      <c r="AC550" s="12">
        <f>+AC544-AB544</f>
        <v>66925.479999999981</v>
      </c>
      <c r="AF550" s="12">
        <f>+AF544-AC544</f>
        <v>118436.23999999999</v>
      </c>
      <c r="AG550" s="12">
        <f>+AG544-AF544</f>
        <v>39888.300000000047</v>
      </c>
    </row>
    <row r="551" spans="1:37">
      <c r="A551" s="18" t="s">
        <v>49</v>
      </c>
      <c r="E551" s="16"/>
      <c r="F551" s="16">
        <f>+F545-AH531</f>
        <v>-388116.28000000009</v>
      </c>
      <c r="G551" s="16">
        <f>+G545-F545</f>
        <v>-4785.4900000001071</v>
      </c>
      <c r="H551" s="16">
        <f>+H545-G545</f>
        <v>-170475.20000000042</v>
      </c>
      <c r="I551" s="16"/>
      <c r="J551" s="16"/>
      <c r="K551" s="16">
        <f>+K545-H545-700000</f>
        <v>235800.57999999984</v>
      </c>
      <c r="L551" s="16">
        <f t="shared" si="82"/>
        <v>-31064.939999999675</v>
      </c>
      <c r="M551" s="16">
        <f t="shared" si="82"/>
        <v>-9820.130000000001</v>
      </c>
      <c r="N551" s="16">
        <f t="shared" si="82"/>
        <v>-20251.560000000001</v>
      </c>
      <c r="O551" s="16">
        <f>O545-N545</f>
        <v>-13649.059999999998</v>
      </c>
      <c r="P551" s="16"/>
      <c r="Q551" s="16"/>
      <c r="R551" s="16">
        <f>R545-O545</f>
        <v>-76989.25</v>
      </c>
      <c r="S551" s="16">
        <f>+S545-R545</f>
        <v>-566801.47</v>
      </c>
      <c r="T551" s="16">
        <f>+T545-S545</f>
        <v>-480.05000000004657</v>
      </c>
      <c r="U551" s="16">
        <f>+U545-T545</f>
        <v>322614.36000000034</v>
      </c>
      <c r="V551" s="16">
        <f>+V545-U545-600000</f>
        <v>-62975.610000000335</v>
      </c>
      <c r="W551" s="16"/>
      <c r="X551" s="16"/>
      <c r="Y551" s="16">
        <f>+Y545-V545</f>
        <v>-37199.719999999681</v>
      </c>
      <c r="Z551" s="16">
        <f t="shared" si="83"/>
        <v>-17509.950000000012</v>
      </c>
      <c r="AA551" s="16">
        <f t="shared" si="83"/>
        <v>33760.999999999971</v>
      </c>
      <c r="AB551" s="16">
        <f t="shared" si="83"/>
        <v>-19098.770000000135</v>
      </c>
      <c r="AC551" s="16">
        <f>+AC545-AB545</f>
        <v>62967.849999999948</v>
      </c>
      <c r="AD551" s="16"/>
      <c r="AE551" s="16"/>
      <c r="AF551" s="16">
        <f>+AF545-AC545</f>
        <v>112053.7099999999</v>
      </c>
      <c r="AG551" s="16">
        <f>+AG545-AF545</f>
        <v>-580227.37</v>
      </c>
      <c r="AH551" s="16"/>
      <c r="AI551" s="16"/>
    </row>
    <row r="552" spans="1:37">
      <c r="A552" t="s">
        <v>160</v>
      </c>
      <c r="E552" s="12">
        <f>SUM(E550:E551)</f>
        <v>0</v>
      </c>
      <c r="F552" s="12">
        <f>SUM(F550:F551)</f>
        <v>-346928.25000000006</v>
      </c>
      <c r="G552" s="12">
        <f>SUM(G550:G551)</f>
        <v>58117.680000000051</v>
      </c>
      <c r="H552" s="12">
        <f>SUM(H550:H551)</f>
        <v>-99057.800000000512</v>
      </c>
      <c r="K552" s="12">
        <f t="shared" ref="K552:AI552" si="84">SUM(K550:K551)</f>
        <v>300373.92999999993</v>
      </c>
      <c r="L552" s="12">
        <f t="shared" si="84"/>
        <v>85808.470000000234</v>
      </c>
      <c r="M552" s="12">
        <f t="shared" si="84"/>
        <v>25140.920000000046</v>
      </c>
      <c r="N552" s="12">
        <f t="shared" si="84"/>
        <v>33493.399999999965</v>
      </c>
      <c r="O552" s="12">
        <f t="shared" si="84"/>
        <v>87715.289999999863</v>
      </c>
      <c r="P552" s="12">
        <f t="shared" si="84"/>
        <v>0</v>
      </c>
      <c r="Q552" s="12">
        <f t="shared" si="84"/>
        <v>0</v>
      </c>
      <c r="R552" s="12">
        <f t="shared" si="84"/>
        <v>-31856.319999999832</v>
      </c>
      <c r="S552" s="12">
        <f t="shared" si="84"/>
        <v>-502800.02</v>
      </c>
      <c r="T552" s="12">
        <f t="shared" si="84"/>
        <v>60833.34999999986</v>
      </c>
      <c r="U552" s="12">
        <f t="shared" si="84"/>
        <v>379175.88000000035</v>
      </c>
      <c r="V552" s="12">
        <f t="shared" si="84"/>
        <v>36190.189999999711</v>
      </c>
      <c r="W552" s="12">
        <f t="shared" si="84"/>
        <v>0</v>
      </c>
      <c r="X552" s="12">
        <f t="shared" si="84"/>
        <v>0</v>
      </c>
      <c r="Y552" s="12">
        <f t="shared" si="84"/>
        <v>68539.930000000226</v>
      </c>
      <c r="Z552" s="12">
        <f t="shared" si="84"/>
        <v>60519.090000000026</v>
      </c>
      <c r="AA552" s="12">
        <f t="shared" si="84"/>
        <v>98412.229999999952</v>
      </c>
      <c r="AB552" s="12">
        <f t="shared" si="84"/>
        <v>35554.140000000014</v>
      </c>
      <c r="AC552" s="12">
        <f t="shared" si="84"/>
        <v>129893.32999999993</v>
      </c>
      <c r="AD552" s="12">
        <f t="shared" si="84"/>
        <v>0</v>
      </c>
      <c r="AE552" s="12">
        <f t="shared" si="84"/>
        <v>0</v>
      </c>
      <c r="AF552" s="12">
        <f t="shared" si="84"/>
        <v>230489.9499999999</v>
      </c>
      <c r="AG552" s="12">
        <f t="shared" si="84"/>
        <v>-540339.06999999995</v>
      </c>
      <c r="AH552" s="12">
        <f t="shared" si="84"/>
        <v>0</v>
      </c>
      <c r="AI552" s="12">
        <f t="shared" si="84"/>
        <v>0</v>
      </c>
    </row>
    <row r="555" spans="1:37">
      <c r="F555" s="12" t="s">
        <v>134</v>
      </c>
      <c r="K555" s="12" t="s">
        <v>192</v>
      </c>
      <c r="U555" s="12" t="s">
        <v>166</v>
      </c>
      <c r="AA555" s="12" t="s">
        <v>165</v>
      </c>
      <c r="AG555" s="12" t="s">
        <v>151</v>
      </c>
    </row>
    <row r="558" spans="1:37">
      <c r="S558" s="69" t="s">
        <v>193</v>
      </c>
    </row>
    <row r="559" spans="1:37">
      <c r="E559" s="28">
        <v>1</v>
      </c>
      <c r="F559" s="28">
        <v>2</v>
      </c>
      <c r="G559" s="28">
        <v>3</v>
      </c>
      <c r="H559" s="28">
        <v>4</v>
      </c>
      <c r="I559" s="28">
        <v>5</v>
      </c>
      <c r="J559" s="28">
        <v>6</v>
      </c>
      <c r="K559" s="28">
        <v>7</v>
      </c>
      <c r="L559" s="28">
        <v>8</v>
      </c>
      <c r="M559" s="28">
        <v>9</v>
      </c>
      <c r="N559" s="28">
        <v>10</v>
      </c>
      <c r="O559" s="28">
        <v>11</v>
      </c>
      <c r="R559" s="28">
        <v>14</v>
      </c>
      <c r="S559" s="28">
        <v>15</v>
      </c>
      <c r="T559" s="28">
        <v>16</v>
      </c>
      <c r="U559" s="28">
        <v>17</v>
      </c>
      <c r="V559" s="28">
        <v>18</v>
      </c>
      <c r="Y559" s="28">
        <v>21</v>
      </c>
      <c r="Z559" s="28">
        <v>22</v>
      </c>
      <c r="AA559" s="28">
        <v>23</v>
      </c>
      <c r="AB559" s="28">
        <v>24</v>
      </c>
      <c r="AC559" s="28">
        <v>25</v>
      </c>
      <c r="AF559" s="28">
        <v>28</v>
      </c>
      <c r="AG559" s="28">
        <v>29</v>
      </c>
      <c r="AH559" s="28">
        <v>30</v>
      </c>
      <c r="AI559" s="28">
        <v>31</v>
      </c>
      <c r="AJ559" s="19" t="s">
        <v>10</v>
      </c>
      <c r="AK559" s="19" t="s">
        <v>12</v>
      </c>
    </row>
    <row r="560" spans="1:37">
      <c r="A560" s="18" t="s">
        <v>43</v>
      </c>
      <c r="B560" s="18">
        <v>2013</v>
      </c>
      <c r="E560" s="49" t="s">
        <v>4</v>
      </c>
      <c r="F560" s="49" t="s">
        <v>5</v>
      </c>
      <c r="G560" s="49" t="s">
        <v>22</v>
      </c>
      <c r="H560" s="49" t="s">
        <v>6</v>
      </c>
      <c r="J560" s="49" t="s">
        <v>6</v>
      </c>
      <c r="K560" s="49" t="s">
        <v>3</v>
      </c>
      <c r="L560" s="49" t="s">
        <v>4</v>
      </c>
      <c r="M560" s="49" t="s">
        <v>5</v>
      </c>
      <c r="N560" s="49" t="s">
        <v>22</v>
      </c>
      <c r="O560" s="49" t="s">
        <v>6</v>
      </c>
      <c r="Q560" s="49" t="s">
        <v>6</v>
      </c>
      <c r="R560" s="49" t="s">
        <v>3</v>
      </c>
      <c r="S560" s="49" t="s">
        <v>4</v>
      </c>
      <c r="T560" s="49" t="s">
        <v>5</v>
      </c>
      <c r="U560" s="49" t="s">
        <v>22</v>
      </c>
      <c r="V560" s="49" t="s">
        <v>6</v>
      </c>
      <c r="Y560" s="49" t="s">
        <v>3</v>
      </c>
      <c r="Z560" s="49" t="s">
        <v>4</v>
      </c>
      <c r="AA560" s="49" t="s">
        <v>5</v>
      </c>
      <c r="AB560" s="49" t="s">
        <v>22</v>
      </c>
      <c r="AC560" s="49" t="s">
        <v>6</v>
      </c>
      <c r="AF560" s="49" t="s">
        <v>3</v>
      </c>
      <c r="AG560" s="49" t="s">
        <v>4</v>
      </c>
      <c r="AH560" s="49" t="s">
        <v>5</v>
      </c>
      <c r="AI560" s="49" t="s">
        <v>22</v>
      </c>
      <c r="AJ560" s="19" t="s">
        <v>11</v>
      </c>
      <c r="AK560" s="19" t="s">
        <v>9</v>
      </c>
    </row>
    <row r="561" spans="1:37">
      <c r="A561" s="12" t="s">
        <v>47</v>
      </c>
      <c r="E561" s="86">
        <v>1868814.45</v>
      </c>
      <c r="F561" s="86">
        <v>1509392.07</v>
      </c>
      <c r="G561" s="86">
        <v>1607408.85</v>
      </c>
      <c r="H561" s="86">
        <v>1691163.98</v>
      </c>
      <c r="I561" s="89"/>
      <c r="J561" s="89"/>
      <c r="K561" s="86">
        <v>1742605.55</v>
      </c>
      <c r="L561" s="86">
        <v>1804092.39</v>
      </c>
      <c r="M561" s="12">
        <v>1837872.53</v>
      </c>
      <c r="N561" s="12">
        <v>1899901.06</v>
      </c>
      <c r="O561" s="12">
        <v>1998760.54</v>
      </c>
      <c r="R561" s="86">
        <v>2080190.96</v>
      </c>
      <c r="S561" s="86">
        <v>2080190.96</v>
      </c>
      <c r="T561" s="86">
        <v>1727636.53</v>
      </c>
      <c r="U561" s="86">
        <v>1799281.97</v>
      </c>
      <c r="V561" s="85">
        <v>1909291.78</v>
      </c>
      <c r="Y561" s="86">
        <v>1962113.8</v>
      </c>
      <c r="Z561" s="86">
        <v>2039673</v>
      </c>
      <c r="AA561" s="86">
        <v>2076798.01</v>
      </c>
      <c r="AB561" s="86">
        <v>2151749.7400000002</v>
      </c>
      <c r="AC561" s="86">
        <v>2226314.7400000002</v>
      </c>
      <c r="AF561" s="86">
        <v>1797378.6</v>
      </c>
      <c r="AG561" s="86">
        <v>1828414.05</v>
      </c>
      <c r="AH561" s="86">
        <v>1884279.46</v>
      </c>
      <c r="AI561" s="85">
        <v>1984769.99</v>
      </c>
      <c r="AJ561" s="91">
        <f>SUM(E561:AI561)</f>
        <v>43508095.010000013</v>
      </c>
    </row>
    <row r="562" spans="1:37">
      <c r="A562" s="12" t="s">
        <v>18</v>
      </c>
      <c r="E562" s="12">
        <v>-251745.19000000012</v>
      </c>
      <c r="F562" s="12">
        <v>-270304.04000000044</v>
      </c>
      <c r="G562" s="12">
        <v>-305099.19000000035</v>
      </c>
      <c r="H562" s="12">
        <v>54782.84999999978</v>
      </c>
      <c r="K562" s="58">
        <v>35661.489999999794</v>
      </c>
      <c r="L562" s="12">
        <v>46546.51999999988</v>
      </c>
      <c r="M562" s="12">
        <v>330660.92999999982</v>
      </c>
      <c r="N562" s="12">
        <v>307870.45999999985</v>
      </c>
      <c r="O562" s="12">
        <v>285662.57999999996</v>
      </c>
      <c r="R562" s="12">
        <v>-277699.83000000007</v>
      </c>
      <c r="S562" s="12">
        <v>-352969.98000000016</v>
      </c>
      <c r="T562" s="12">
        <v>-356532.64000000036</v>
      </c>
      <c r="U562" s="12">
        <v>-360592.14000000013</v>
      </c>
      <c r="V562" s="12">
        <v>-353774.14999999979</v>
      </c>
      <c r="Y562" s="12">
        <v>176449.21999999986</v>
      </c>
      <c r="Z562" s="12">
        <v>173546.80999999985</v>
      </c>
      <c r="AA562" s="12">
        <v>124715.30999999976</v>
      </c>
      <c r="AB562" s="12">
        <v>87204.450000000026</v>
      </c>
      <c r="AC562" s="12">
        <v>74534.539999999877</v>
      </c>
      <c r="AF562" s="12">
        <v>-453022.04999999964</v>
      </c>
      <c r="AG562" s="12">
        <v>65339.339999999778</v>
      </c>
      <c r="AH562" s="12">
        <v>16484.609999999928</v>
      </c>
      <c r="AI562" s="12">
        <v>-2415.7600000001694</v>
      </c>
      <c r="AJ562" s="91">
        <f t="shared" ref="AJ562:AJ563" si="85">SUM(E562:AI562)</f>
        <v>-1204695.8600000031</v>
      </c>
    </row>
    <row r="563" spans="1:37">
      <c r="A563" t="s">
        <v>21</v>
      </c>
      <c r="E563" s="16">
        <v>0</v>
      </c>
      <c r="F563" s="16">
        <v>400000</v>
      </c>
      <c r="G563" s="16">
        <v>400000</v>
      </c>
      <c r="H563" s="16">
        <v>0</v>
      </c>
      <c r="I563" s="16"/>
      <c r="J563" s="16"/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/>
      <c r="Q563" s="16"/>
      <c r="R563" s="16">
        <v>0</v>
      </c>
      <c r="S563" s="16">
        <v>0</v>
      </c>
      <c r="T563" s="16">
        <v>450000</v>
      </c>
      <c r="U563" s="16">
        <v>450000</v>
      </c>
      <c r="V563" s="16">
        <v>450000</v>
      </c>
      <c r="W563" s="16"/>
      <c r="X563" s="16"/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/>
      <c r="AE563" s="16"/>
      <c r="AF563" s="16">
        <v>500000</v>
      </c>
      <c r="AG563" s="16">
        <v>0</v>
      </c>
      <c r="AH563" s="16">
        <v>0</v>
      </c>
      <c r="AI563" s="16">
        <v>0</v>
      </c>
      <c r="AJ563" s="102">
        <f t="shared" si="85"/>
        <v>2650000</v>
      </c>
      <c r="AK563" s="16"/>
    </row>
    <row r="564" spans="1:37">
      <c r="A564" t="s">
        <v>122</v>
      </c>
      <c r="E564" s="12">
        <f>SUM(E561:E563)</f>
        <v>1617069.2599999998</v>
      </c>
      <c r="F564" s="12">
        <f t="shared" ref="F564:AK564" si="86">SUM(F561:F563)</f>
        <v>1639088.0299999996</v>
      </c>
      <c r="G564" s="12">
        <f t="shared" si="86"/>
        <v>1702309.6599999997</v>
      </c>
      <c r="H564" s="12">
        <f t="shared" si="86"/>
        <v>1745946.8299999998</v>
      </c>
      <c r="I564" s="12">
        <f t="shared" si="86"/>
        <v>0</v>
      </c>
      <c r="J564" s="12">
        <f t="shared" si="86"/>
        <v>0</v>
      </c>
      <c r="K564" s="12">
        <f t="shared" si="86"/>
        <v>1778267.0399999998</v>
      </c>
      <c r="L564" s="12">
        <f t="shared" si="86"/>
        <v>1850638.9099999997</v>
      </c>
      <c r="M564" s="12">
        <f t="shared" si="86"/>
        <v>2168533.46</v>
      </c>
      <c r="N564" s="12">
        <f t="shared" si="86"/>
        <v>2207771.52</v>
      </c>
      <c r="O564" s="12">
        <f t="shared" si="86"/>
        <v>2284423.12</v>
      </c>
      <c r="P564" s="12">
        <f t="shared" si="86"/>
        <v>0</v>
      </c>
      <c r="Q564" s="12">
        <f t="shared" si="86"/>
        <v>0</v>
      </c>
      <c r="R564" s="12">
        <f t="shared" si="86"/>
        <v>1802491.13</v>
      </c>
      <c r="S564" s="12">
        <f t="shared" si="86"/>
        <v>1727220.9799999997</v>
      </c>
      <c r="T564" s="12">
        <f t="shared" si="86"/>
        <v>1821103.8899999997</v>
      </c>
      <c r="U564" s="12">
        <f t="shared" si="86"/>
        <v>1888689.8299999998</v>
      </c>
      <c r="V564" s="12">
        <f t="shared" si="86"/>
        <v>2005517.6300000004</v>
      </c>
      <c r="W564" s="12">
        <f t="shared" si="86"/>
        <v>0</v>
      </c>
      <c r="X564" s="12">
        <f t="shared" si="86"/>
        <v>0</v>
      </c>
      <c r="Y564" s="12">
        <f t="shared" si="86"/>
        <v>2138563.02</v>
      </c>
      <c r="Z564" s="12">
        <f t="shared" si="86"/>
        <v>2213219.81</v>
      </c>
      <c r="AA564" s="12">
        <f t="shared" si="86"/>
        <v>2201513.3199999998</v>
      </c>
      <c r="AB564" s="12">
        <f t="shared" si="86"/>
        <v>2238954.1900000004</v>
      </c>
      <c r="AC564" s="12">
        <f t="shared" si="86"/>
        <v>2300849.2800000003</v>
      </c>
      <c r="AD564" s="12">
        <f t="shared" si="86"/>
        <v>0</v>
      </c>
      <c r="AE564" s="12">
        <f t="shared" si="86"/>
        <v>0</v>
      </c>
      <c r="AF564" s="12">
        <f t="shared" si="86"/>
        <v>1844356.5500000005</v>
      </c>
      <c r="AG564" s="12">
        <f t="shared" si="86"/>
        <v>1893753.39</v>
      </c>
      <c r="AH564" s="12">
        <f t="shared" si="86"/>
        <v>1900764.0699999998</v>
      </c>
      <c r="AI564" s="12">
        <f t="shared" si="86"/>
        <v>1982354.2299999997</v>
      </c>
      <c r="AJ564" s="12">
        <f t="shared" si="86"/>
        <v>44953399.150000006</v>
      </c>
      <c r="AK564" s="12">
        <f t="shared" si="86"/>
        <v>0</v>
      </c>
    </row>
    <row r="567" spans="1:37">
      <c r="A567" s="18" t="s">
        <v>48</v>
      </c>
      <c r="E567" s="12">
        <f>+E561-AG544</f>
        <v>106678.11999999988</v>
      </c>
      <c r="F567" s="91">
        <f>+F561-E561+400000</f>
        <v>40577.620000000112</v>
      </c>
      <c r="G567" s="12">
        <f>+G561-F561</f>
        <v>98016.780000000028</v>
      </c>
      <c r="H567" s="12">
        <f>+H561-G561</f>
        <v>83755.129999999888</v>
      </c>
      <c r="K567" s="91">
        <f>+K561-H561</f>
        <v>51441.570000000065</v>
      </c>
      <c r="L567" s="12">
        <f t="shared" ref="L567:N568" si="87">+L561-K561</f>
        <v>61486.839999999851</v>
      </c>
      <c r="M567" s="12">
        <f t="shared" si="87"/>
        <v>33780.14000000013</v>
      </c>
      <c r="N567" s="12">
        <f t="shared" si="87"/>
        <v>62028.530000000028</v>
      </c>
      <c r="O567" s="12">
        <f>+O561-N561</f>
        <v>98859.479999999981</v>
      </c>
      <c r="R567" s="12">
        <f>+R561-O561</f>
        <v>81430.419999999925</v>
      </c>
      <c r="S567" s="12">
        <f>+S561-R561</f>
        <v>0</v>
      </c>
      <c r="T567" s="91">
        <f>+T561-S561+450000</f>
        <v>97445.570000000065</v>
      </c>
      <c r="U567" s="12">
        <f>+U561-T561</f>
        <v>71645.439999999944</v>
      </c>
      <c r="V567" s="12">
        <f>+V561-U561</f>
        <v>110009.81000000006</v>
      </c>
      <c r="Y567" s="12">
        <f>+Y561-V561</f>
        <v>52822.020000000019</v>
      </c>
      <c r="Z567" s="91">
        <f t="shared" ref="Z567:AB568" si="88">+Z561-Y561</f>
        <v>77559.199999999953</v>
      </c>
      <c r="AA567" s="91">
        <f t="shared" si="88"/>
        <v>37125.010000000009</v>
      </c>
      <c r="AB567" s="12">
        <f t="shared" si="88"/>
        <v>74951.730000000214</v>
      </c>
      <c r="AC567" s="91">
        <f>+AC561-AB561</f>
        <v>74565</v>
      </c>
      <c r="AF567" s="91">
        <f>+AF561-AC561+500000</f>
        <v>71063.85999999987</v>
      </c>
      <c r="AG567" s="12">
        <f>+AG561-AF561</f>
        <v>31035.449999999953</v>
      </c>
      <c r="AH567" s="91">
        <f>+AH561-AG561</f>
        <v>55865.409999999916</v>
      </c>
      <c r="AI567" s="12">
        <f>+AI561-AH561</f>
        <v>100490.53000000003</v>
      </c>
      <c r="AJ567" s="91">
        <f t="shared" ref="AJ567:AJ568" si="89">SUM(E567:AI567)</f>
        <v>1572633.66</v>
      </c>
    </row>
    <row r="568" spans="1:37">
      <c r="A568" s="18" t="s">
        <v>49</v>
      </c>
      <c r="E568" s="16">
        <f>+E562-AG545</f>
        <v>0</v>
      </c>
      <c r="F568" s="16">
        <f>+F562-E562</f>
        <v>-18558.850000000326</v>
      </c>
      <c r="G568" s="16">
        <f>+G562-F562</f>
        <v>-34795.149999999907</v>
      </c>
      <c r="H568" s="16">
        <f>+H562-G562-400000</f>
        <v>-40117.959999999846</v>
      </c>
      <c r="I568" s="16"/>
      <c r="J568" s="16"/>
      <c r="K568" s="16">
        <f>+K562-H562</f>
        <v>-19121.359999999986</v>
      </c>
      <c r="L568" s="16">
        <f t="shared" si="87"/>
        <v>10885.030000000086</v>
      </c>
      <c r="M568" s="16">
        <f t="shared" si="87"/>
        <v>284114.40999999992</v>
      </c>
      <c r="N568" s="16">
        <f t="shared" si="87"/>
        <v>-22790.469999999972</v>
      </c>
      <c r="O568" s="16">
        <f>+O562-N562</f>
        <v>-22207.879999999888</v>
      </c>
      <c r="P568" s="16"/>
      <c r="Q568" s="16"/>
      <c r="R568" s="16">
        <f>+R562-O562</f>
        <v>-563362.41</v>
      </c>
      <c r="S568" s="16">
        <f>+S562-R562</f>
        <v>-75270.150000000081</v>
      </c>
      <c r="T568" s="16">
        <f>+T562-S562</f>
        <v>-3562.6600000002072</v>
      </c>
      <c r="U568" s="16">
        <f>+U562-T562</f>
        <v>-4059.4999999997672</v>
      </c>
      <c r="V568" s="16">
        <f>+V562-U562</f>
        <v>6817.9900000003399</v>
      </c>
      <c r="W568" s="16"/>
      <c r="X568" s="16"/>
      <c r="Y568" s="16">
        <f>+Y562-V562-450000</f>
        <v>80223.369999999646</v>
      </c>
      <c r="Z568" s="16">
        <f t="shared" si="88"/>
        <v>-2902.4100000000035</v>
      </c>
      <c r="AA568" s="16">
        <f t="shared" si="88"/>
        <v>-48831.500000000087</v>
      </c>
      <c r="AB568" s="16">
        <f t="shared" si="88"/>
        <v>-37510.859999999739</v>
      </c>
      <c r="AC568" s="16">
        <f>+AC562-AB562</f>
        <v>-12669.910000000149</v>
      </c>
      <c r="AD568" s="16"/>
      <c r="AE568" s="16"/>
      <c r="AF568" s="16">
        <f>+AF562-AC562</f>
        <v>-527556.5899999995</v>
      </c>
      <c r="AG568" s="16">
        <f>+AG562-AF562-500000</f>
        <v>18361.389999999432</v>
      </c>
      <c r="AH568" s="16">
        <f>+AH562-AG562</f>
        <v>-48854.72999999985</v>
      </c>
      <c r="AI568" s="16">
        <f>+AI562-AH562</f>
        <v>-18900.370000000097</v>
      </c>
      <c r="AJ568" s="102">
        <f t="shared" si="89"/>
        <v>-1100670.5699999998</v>
      </c>
      <c r="AK568" s="16"/>
    </row>
    <row r="569" spans="1:37">
      <c r="A569" t="s">
        <v>160</v>
      </c>
      <c r="E569" s="12">
        <f>SUM(E567:E568)</f>
        <v>106678.11999999988</v>
      </c>
      <c r="F569" s="12">
        <f t="shared" ref="F569:AK569" si="90">SUM(F567:F568)</f>
        <v>22018.769999999786</v>
      </c>
      <c r="G569" s="12">
        <f t="shared" si="90"/>
        <v>63221.630000000121</v>
      </c>
      <c r="H569" s="12">
        <f t="shared" si="90"/>
        <v>43637.170000000042</v>
      </c>
      <c r="I569" s="12">
        <f t="shared" si="90"/>
        <v>0</v>
      </c>
      <c r="J569" s="12">
        <f t="shared" si="90"/>
        <v>0</v>
      </c>
      <c r="K569" s="12">
        <f t="shared" si="90"/>
        <v>32320.210000000079</v>
      </c>
      <c r="L569" s="12">
        <f t="shared" si="90"/>
        <v>72371.869999999937</v>
      </c>
      <c r="M569" s="12">
        <f t="shared" si="90"/>
        <v>317894.55000000005</v>
      </c>
      <c r="N569" s="12">
        <f t="shared" si="90"/>
        <v>39238.060000000056</v>
      </c>
      <c r="O569" s="12">
        <f t="shared" si="90"/>
        <v>76651.600000000093</v>
      </c>
      <c r="P569" s="12">
        <f t="shared" si="90"/>
        <v>0</v>
      </c>
      <c r="Q569" s="12">
        <f t="shared" si="90"/>
        <v>0</v>
      </c>
      <c r="R569" s="12">
        <f t="shared" si="90"/>
        <v>-481931.99000000011</v>
      </c>
      <c r="S569" s="12">
        <f t="shared" si="90"/>
        <v>-75270.150000000081</v>
      </c>
      <c r="T569" s="12">
        <f t="shared" si="90"/>
        <v>93882.909999999858</v>
      </c>
      <c r="U569" s="12">
        <f t="shared" si="90"/>
        <v>67585.940000000177</v>
      </c>
      <c r="V569" s="12">
        <f t="shared" si="90"/>
        <v>116827.8000000004</v>
      </c>
      <c r="W569" s="12">
        <f t="shared" si="90"/>
        <v>0</v>
      </c>
      <c r="X569" s="12">
        <f t="shared" si="90"/>
        <v>0</v>
      </c>
      <c r="Y569" s="12">
        <f t="shared" si="90"/>
        <v>133045.38999999966</v>
      </c>
      <c r="Z569" s="12">
        <f t="shared" si="90"/>
        <v>74656.78999999995</v>
      </c>
      <c r="AA569" s="12">
        <f t="shared" si="90"/>
        <v>-11706.490000000078</v>
      </c>
      <c r="AB569" s="12">
        <f t="shared" si="90"/>
        <v>37440.870000000476</v>
      </c>
      <c r="AC569" s="12">
        <f t="shared" si="90"/>
        <v>61895.089999999851</v>
      </c>
      <c r="AD569" s="12">
        <f t="shared" si="90"/>
        <v>0</v>
      </c>
      <c r="AE569" s="12">
        <f t="shared" si="90"/>
        <v>0</v>
      </c>
      <c r="AF569" s="12">
        <f t="shared" si="90"/>
        <v>-456492.72999999963</v>
      </c>
      <c r="AG569" s="12">
        <f t="shared" si="90"/>
        <v>49396.839999999385</v>
      </c>
      <c r="AH569" s="12">
        <f t="shared" si="90"/>
        <v>7010.6800000000658</v>
      </c>
      <c r="AI569" s="12">
        <f t="shared" si="90"/>
        <v>81590.159999999931</v>
      </c>
      <c r="AJ569" s="12">
        <f t="shared" si="90"/>
        <v>471963.09000000008</v>
      </c>
      <c r="AK569" s="12">
        <f t="shared" si="90"/>
        <v>0</v>
      </c>
    </row>
    <row r="572" spans="1:37">
      <c r="R572" s="12" t="s">
        <v>156</v>
      </c>
      <c r="AF572" s="12" t="s">
        <v>134</v>
      </c>
    </row>
    <row r="574" spans="1:37">
      <c r="L574" s="12" t="s">
        <v>194</v>
      </c>
      <c r="M574" s="12" t="s">
        <v>110</v>
      </c>
      <c r="AF574" s="12" t="s">
        <v>110</v>
      </c>
      <c r="AG574" s="12" t="s">
        <v>194</v>
      </c>
    </row>
    <row r="575" spans="1:37">
      <c r="E575" s="28">
        <v>1</v>
      </c>
      <c r="F575" s="28">
        <v>4</v>
      </c>
      <c r="G575" s="28">
        <v>5</v>
      </c>
      <c r="H575" s="28">
        <v>6</v>
      </c>
      <c r="K575" s="28">
        <v>7</v>
      </c>
      <c r="L575" s="28">
        <v>8</v>
      </c>
      <c r="M575" s="28">
        <v>11</v>
      </c>
      <c r="N575" s="28">
        <v>12</v>
      </c>
      <c r="O575" s="28">
        <v>13</v>
      </c>
      <c r="R575" s="28">
        <v>14</v>
      </c>
      <c r="S575" s="28">
        <v>15</v>
      </c>
      <c r="T575" s="28">
        <v>18</v>
      </c>
      <c r="U575" s="28">
        <v>19</v>
      </c>
      <c r="V575" s="28">
        <v>20</v>
      </c>
      <c r="Y575" s="28">
        <v>21</v>
      </c>
      <c r="Z575" s="28">
        <v>22</v>
      </c>
      <c r="AA575" s="28">
        <v>25</v>
      </c>
      <c r="AB575" s="28">
        <v>26</v>
      </c>
      <c r="AC575" s="28">
        <v>27</v>
      </c>
      <c r="AF575" s="28">
        <v>28</v>
      </c>
      <c r="AG575" s="28">
        <v>29</v>
      </c>
      <c r="AH575" s="19" t="s">
        <v>10</v>
      </c>
    </row>
    <row r="576" spans="1:37">
      <c r="A576" s="18" t="s">
        <v>44</v>
      </c>
      <c r="B576" s="18">
        <v>2013</v>
      </c>
      <c r="E576" s="49" t="s">
        <v>6</v>
      </c>
      <c r="F576" s="49" t="s">
        <v>3</v>
      </c>
      <c r="G576" s="49" t="s">
        <v>4</v>
      </c>
      <c r="H576" s="49" t="s">
        <v>5</v>
      </c>
      <c r="I576" s="49" t="s">
        <v>22</v>
      </c>
      <c r="J576" s="49" t="s">
        <v>6</v>
      </c>
      <c r="K576" s="49" t="s">
        <v>22</v>
      </c>
      <c r="L576" s="49" t="s">
        <v>6</v>
      </c>
      <c r="M576" s="49" t="s">
        <v>3</v>
      </c>
      <c r="N576" s="49" t="s">
        <v>4</v>
      </c>
      <c r="O576" s="49" t="s">
        <v>5</v>
      </c>
      <c r="P576" s="49" t="s">
        <v>22</v>
      </c>
      <c r="Q576" s="49" t="s">
        <v>6</v>
      </c>
      <c r="R576" s="49" t="s">
        <v>22</v>
      </c>
      <c r="S576" s="49" t="s">
        <v>6</v>
      </c>
      <c r="T576" s="49" t="s">
        <v>3</v>
      </c>
      <c r="U576" s="49" t="s">
        <v>4</v>
      </c>
      <c r="V576" s="49" t="s">
        <v>5</v>
      </c>
      <c r="W576" s="49" t="s">
        <v>22</v>
      </c>
      <c r="X576" s="49" t="s">
        <v>6</v>
      </c>
      <c r="Y576" s="49" t="s">
        <v>22</v>
      </c>
      <c r="Z576" s="49" t="s">
        <v>6</v>
      </c>
      <c r="AA576" s="49" t="s">
        <v>3</v>
      </c>
      <c r="AB576" s="49" t="s">
        <v>4</v>
      </c>
      <c r="AC576" s="49" t="s">
        <v>5</v>
      </c>
      <c r="AD576" s="49" t="s">
        <v>22</v>
      </c>
      <c r="AE576" s="49" t="s">
        <v>6</v>
      </c>
      <c r="AF576" s="49" t="s">
        <v>22</v>
      </c>
      <c r="AG576" s="49" t="s">
        <v>6</v>
      </c>
      <c r="AH576" s="19" t="s">
        <v>11</v>
      </c>
    </row>
    <row r="577" spans="1:35">
      <c r="A577" s="12" t="s">
        <v>47</v>
      </c>
      <c r="E577" s="86">
        <v>2115768.2400000002</v>
      </c>
      <c r="F577" s="86">
        <v>2151521.37</v>
      </c>
      <c r="G577" s="86">
        <v>1754176.08</v>
      </c>
      <c r="H577" s="86">
        <v>1809965.78</v>
      </c>
      <c r="K577" s="85">
        <v>1968980.91</v>
      </c>
      <c r="L577" s="12">
        <v>0</v>
      </c>
      <c r="M577" s="12">
        <v>0</v>
      </c>
      <c r="N577" s="86">
        <v>2026904.85</v>
      </c>
      <c r="O577" s="86">
        <v>2087694.42</v>
      </c>
      <c r="P577" s="89"/>
      <c r="Q577" s="89"/>
      <c r="R577" s="86">
        <v>2185894.14</v>
      </c>
      <c r="S577" s="86">
        <v>2288086.39</v>
      </c>
      <c r="T577" s="86">
        <v>2351211.38</v>
      </c>
      <c r="U577" s="86">
        <v>1991783.49</v>
      </c>
      <c r="V577" s="86">
        <v>2084563.26</v>
      </c>
      <c r="W577" s="89"/>
      <c r="X577" s="89"/>
      <c r="Y577" s="86">
        <v>2168619.2799999998</v>
      </c>
      <c r="Z577" s="86">
        <v>2292758.4700000002</v>
      </c>
      <c r="AA577" s="86">
        <v>1997670.1</v>
      </c>
      <c r="AB577" s="86">
        <v>2055965.63</v>
      </c>
      <c r="AC577" s="86">
        <v>2116265.94</v>
      </c>
      <c r="AD577" s="89"/>
      <c r="AE577" s="89"/>
      <c r="AF577" s="89"/>
      <c r="AG577" s="86">
        <v>2175628.87</v>
      </c>
      <c r="AH577" s="91">
        <f>SUM(E577:AG577)</f>
        <v>37623458.599999994</v>
      </c>
    </row>
    <row r="578" spans="1:35">
      <c r="A578" s="12" t="s">
        <v>18</v>
      </c>
      <c r="E578" s="12">
        <v>-30119.270000000106</v>
      </c>
      <c r="F578" s="50">
        <v>-51185.480000000243</v>
      </c>
      <c r="G578" s="50">
        <v>-92559.320000000211</v>
      </c>
      <c r="H578" s="50">
        <v>385653.68999999983</v>
      </c>
      <c r="I578" s="50"/>
      <c r="J578" s="50"/>
      <c r="K578" s="50">
        <v>137253.04999999976</v>
      </c>
      <c r="L578" s="50">
        <v>0</v>
      </c>
      <c r="M578" s="50">
        <v>0</v>
      </c>
      <c r="N578" s="50">
        <v>-426618.35999999964</v>
      </c>
      <c r="O578" s="50">
        <v>-397006.75999999966</v>
      </c>
      <c r="P578" s="50"/>
      <c r="Q578" s="50"/>
      <c r="R578" s="50">
        <v>-317461.53999999986</v>
      </c>
      <c r="S578" s="50">
        <v>-344715.7699999999</v>
      </c>
      <c r="T578" s="50">
        <v>-375228.14999999985</v>
      </c>
      <c r="U578" s="50">
        <v>-373381.92999999964</v>
      </c>
      <c r="V578" s="50">
        <v>253031.62999999963</v>
      </c>
      <c r="W578" s="50"/>
      <c r="X578" s="50"/>
      <c r="Y578" s="89">
        <v>12886.590000000022</v>
      </c>
      <c r="Z578" s="50">
        <v>-365457.19000000006</v>
      </c>
      <c r="AA578" s="50">
        <v>-387642.08999999985</v>
      </c>
      <c r="AB578" s="50">
        <v>3257.4499999999616</v>
      </c>
      <c r="AC578" s="50">
        <v>-4278.9899999998515</v>
      </c>
      <c r="AD578" s="50"/>
      <c r="AE578" s="50"/>
      <c r="AF578" s="50"/>
      <c r="AG578" s="50"/>
      <c r="AH578" s="91">
        <f>SUM(E578:AG578)</f>
        <v>-2373572.4399999995</v>
      </c>
    </row>
    <row r="579" spans="1:35">
      <c r="A579" t="s">
        <v>21</v>
      </c>
      <c r="E579" s="16">
        <v>0</v>
      </c>
      <c r="F579" s="16">
        <v>0</v>
      </c>
      <c r="G579" s="16">
        <v>500000</v>
      </c>
      <c r="H579" s="16">
        <v>0</v>
      </c>
      <c r="I579" s="16"/>
      <c r="J579" s="16"/>
      <c r="K579" s="16"/>
      <c r="L579" s="16">
        <v>0</v>
      </c>
      <c r="M579" s="16">
        <v>0</v>
      </c>
      <c r="N579" s="16">
        <v>0</v>
      </c>
      <c r="O579" s="16">
        <v>0</v>
      </c>
      <c r="P579" s="16"/>
      <c r="Q579" s="16"/>
      <c r="R579" s="16">
        <v>0</v>
      </c>
      <c r="S579" s="16">
        <v>0</v>
      </c>
      <c r="T579" s="16">
        <v>0</v>
      </c>
      <c r="U579" s="16">
        <v>400000</v>
      </c>
      <c r="V579" s="16">
        <v>0</v>
      </c>
      <c r="W579" s="16"/>
      <c r="X579" s="16"/>
      <c r="Y579" s="16">
        <v>0</v>
      </c>
      <c r="Z579" s="16">
        <v>0</v>
      </c>
      <c r="AA579" s="16">
        <v>400000</v>
      </c>
      <c r="AB579" s="16">
        <v>0</v>
      </c>
      <c r="AC579" s="16">
        <v>0</v>
      </c>
      <c r="AD579" s="16"/>
      <c r="AE579" s="16"/>
      <c r="AF579" s="16"/>
      <c r="AG579" s="16"/>
      <c r="AH579" s="102">
        <f>SUM(E579:AG579)</f>
        <v>1300000</v>
      </c>
    </row>
    <row r="580" spans="1:35">
      <c r="A580" t="s">
        <v>122</v>
      </c>
      <c r="E580" s="12">
        <f>SUM(E577:E579)</f>
        <v>2085648.9700000002</v>
      </c>
      <c r="F580" s="12">
        <f t="shared" ref="F580:AH580" si="91">SUM(F577:F579)</f>
        <v>2100335.8899999997</v>
      </c>
      <c r="G580" s="12">
        <f t="shared" si="91"/>
        <v>2161616.7599999998</v>
      </c>
      <c r="H580" s="12">
        <f t="shared" si="91"/>
        <v>2195619.4699999997</v>
      </c>
      <c r="I580" s="12">
        <f t="shared" si="91"/>
        <v>0</v>
      </c>
      <c r="J580" s="12">
        <f t="shared" si="91"/>
        <v>0</v>
      </c>
      <c r="K580" s="12">
        <f t="shared" si="91"/>
        <v>2106233.9599999995</v>
      </c>
      <c r="L580" s="12">
        <f t="shared" si="91"/>
        <v>0</v>
      </c>
      <c r="M580" s="12">
        <f t="shared" si="91"/>
        <v>0</v>
      </c>
      <c r="N580" s="12">
        <f t="shared" si="91"/>
        <v>1600286.4900000005</v>
      </c>
      <c r="O580" s="12">
        <f t="shared" si="91"/>
        <v>1690687.6600000001</v>
      </c>
      <c r="P580" s="12">
        <f t="shared" si="91"/>
        <v>0</v>
      </c>
      <c r="Q580" s="12">
        <f t="shared" si="91"/>
        <v>0</v>
      </c>
      <c r="R580" s="12">
        <f t="shared" si="91"/>
        <v>1868432.6000000003</v>
      </c>
      <c r="S580" s="12">
        <f t="shared" si="91"/>
        <v>1943370.62</v>
      </c>
      <c r="T580" s="12">
        <f t="shared" si="91"/>
        <v>1975983.23</v>
      </c>
      <c r="U580" s="12">
        <f t="shared" si="91"/>
        <v>2018401.5600000003</v>
      </c>
      <c r="V580" s="12">
        <f t="shared" si="91"/>
        <v>2337594.8899999997</v>
      </c>
      <c r="W580" s="12">
        <f t="shared" si="91"/>
        <v>0</v>
      </c>
      <c r="X580" s="12">
        <f t="shared" si="91"/>
        <v>0</v>
      </c>
      <c r="Y580" s="12">
        <f t="shared" si="91"/>
        <v>2181505.8699999996</v>
      </c>
      <c r="Z580" s="12">
        <f t="shared" si="91"/>
        <v>1927301.2800000003</v>
      </c>
      <c r="AA580" s="12">
        <f t="shared" si="91"/>
        <v>2010028.0100000002</v>
      </c>
      <c r="AB580" s="12">
        <f t="shared" si="91"/>
        <v>2059223.0799999998</v>
      </c>
      <c r="AC580" s="12">
        <f t="shared" si="91"/>
        <v>2111986.9500000002</v>
      </c>
      <c r="AD580" s="12">
        <f t="shared" si="91"/>
        <v>0</v>
      </c>
      <c r="AE580" s="12">
        <f t="shared" si="91"/>
        <v>0</v>
      </c>
      <c r="AF580" s="12">
        <f t="shared" si="91"/>
        <v>0</v>
      </c>
      <c r="AG580" s="12">
        <f t="shared" si="91"/>
        <v>2175628.87</v>
      </c>
      <c r="AH580" s="12">
        <f t="shared" si="91"/>
        <v>36549886.159999996</v>
      </c>
    </row>
    <row r="583" spans="1:35">
      <c r="A583" s="18" t="s">
        <v>48</v>
      </c>
      <c r="E583" s="12">
        <f>+E577-AI561</f>
        <v>130998.25000000023</v>
      </c>
      <c r="F583" s="12">
        <f>+F577-E577</f>
        <v>35753.129999999888</v>
      </c>
      <c r="G583" s="91">
        <f>+G577-F577+500000</f>
        <v>102654.70999999996</v>
      </c>
      <c r="H583" s="12">
        <f>+H577-G577</f>
        <v>55789.699999999953</v>
      </c>
      <c r="K583" s="12">
        <f>+K577-H577</f>
        <v>159015.12999999989</v>
      </c>
      <c r="L583" s="12">
        <v>0</v>
      </c>
      <c r="M583" s="12">
        <v>0</v>
      </c>
      <c r="N583" s="12">
        <f>+N577-K577</f>
        <v>57923.940000000177</v>
      </c>
      <c r="O583" s="12">
        <f>+O577-N577</f>
        <v>60789.569999999832</v>
      </c>
      <c r="R583" s="12">
        <f>+R577-O577</f>
        <v>98199.720000000205</v>
      </c>
      <c r="S583" s="12">
        <f>+S577-R577</f>
        <v>102192.25</v>
      </c>
      <c r="T583" s="12">
        <f>+T577-S577</f>
        <v>63124.989999999758</v>
      </c>
      <c r="U583" s="12">
        <f>+U577-T577+400000</f>
        <v>40572.110000000102</v>
      </c>
      <c r="V583" s="12">
        <f>+V577-U577</f>
        <v>92779.770000000019</v>
      </c>
      <c r="Y583" s="12">
        <f>+Y577-V577</f>
        <v>84056.019999999786</v>
      </c>
      <c r="Z583" s="91">
        <f>+Z577-Y577</f>
        <v>124139.19000000041</v>
      </c>
      <c r="AA583" s="91">
        <f>+AA577-Z577+400000</f>
        <v>104911.62999999989</v>
      </c>
      <c r="AB583" s="12">
        <f>+AB577-AA577</f>
        <v>58295.529999999795</v>
      </c>
      <c r="AC583" s="12">
        <f>+AC577-AB577</f>
        <v>60300.310000000056</v>
      </c>
    </row>
    <row r="584" spans="1:35">
      <c r="A584" s="18" t="s">
        <v>49</v>
      </c>
      <c r="E584" s="16">
        <f>+E578-AI562</f>
        <v>-27703.509999999937</v>
      </c>
      <c r="F584" s="16">
        <f>+F578-E578</f>
        <v>-21066.210000000137</v>
      </c>
      <c r="G584" s="16">
        <f>+G578-F578</f>
        <v>-41373.839999999967</v>
      </c>
      <c r="H584" s="16">
        <f>+H578-G578-500000</f>
        <v>-21786.989999999991</v>
      </c>
      <c r="I584" s="16"/>
      <c r="J584" s="16"/>
      <c r="K584" s="16">
        <f>+K578-H578</f>
        <v>-248400.64000000007</v>
      </c>
      <c r="L584" s="16">
        <v>0</v>
      </c>
      <c r="M584" s="16">
        <v>0</v>
      </c>
      <c r="N584" s="16">
        <f>+N578-K578</f>
        <v>-563871.40999999945</v>
      </c>
      <c r="O584" s="16">
        <f>+O578-N578</f>
        <v>29611.599999999977</v>
      </c>
      <c r="P584" s="16"/>
      <c r="Q584" s="16"/>
      <c r="R584" s="16">
        <f>+R578-O578</f>
        <v>79545.219999999797</v>
      </c>
      <c r="S584" s="16">
        <f>+S578-R578</f>
        <v>-27254.23000000004</v>
      </c>
      <c r="T584" s="16">
        <f>+T578-S578</f>
        <v>-30512.379999999946</v>
      </c>
      <c r="U584" s="16">
        <f>+U578-T578</f>
        <v>1846.2200000002049</v>
      </c>
      <c r="V584" s="16">
        <f>+V578-U578-400000</f>
        <v>226413.55999999924</v>
      </c>
      <c r="W584" s="16"/>
      <c r="X584" s="16"/>
      <c r="Y584" s="16">
        <f>+Y578-V578</f>
        <v>-240145.0399999996</v>
      </c>
      <c r="Z584" s="16">
        <f>+Z578-Y578</f>
        <v>-378343.78000000009</v>
      </c>
      <c r="AA584" s="16">
        <f>+AA578-Z578</f>
        <v>-22184.89999999979</v>
      </c>
      <c r="AB584" s="16">
        <f>+AB578-AA578-400000</f>
        <v>-9100.4600000001956</v>
      </c>
      <c r="AC584" s="16">
        <f>+AC578-AB578</f>
        <v>-7536.4399999998132</v>
      </c>
      <c r="AD584" s="16"/>
      <c r="AE584" s="16"/>
      <c r="AF584" s="16"/>
      <c r="AG584" s="16"/>
      <c r="AH584" s="16"/>
    </row>
    <row r="585" spans="1:35">
      <c r="A585" t="s">
        <v>160</v>
      </c>
      <c r="E585" s="12">
        <f>+E584+E583</f>
        <v>103294.7400000003</v>
      </c>
      <c r="F585" s="12">
        <f t="shared" ref="F585:AH585" si="92">+F584+F583</f>
        <v>14686.919999999751</v>
      </c>
      <c r="G585" s="12">
        <f t="shared" si="92"/>
        <v>61280.869999999995</v>
      </c>
      <c r="H585" s="12">
        <f t="shared" si="92"/>
        <v>34002.709999999963</v>
      </c>
      <c r="I585" s="12">
        <f t="shared" si="92"/>
        <v>0</v>
      </c>
      <c r="J585" s="12">
        <f t="shared" si="92"/>
        <v>0</v>
      </c>
      <c r="K585" s="12">
        <f t="shared" si="92"/>
        <v>-89385.510000000184</v>
      </c>
      <c r="L585" s="12">
        <f t="shared" si="92"/>
        <v>0</v>
      </c>
      <c r="M585" s="12">
        <f t="shared" si="92"/>
        <v>0</v>
      </c>
      <c r="N585" s="12">
        <f t="shared" si="92"/>
        <v>-505947.46999999927</v>
      </c>
      <c r="O585" s="12">
        <f t="shared" si="92"/>
        <v>90401.169999999809</v>
      </c>
      <c r="P585" s="12">
        <f t="shared" si="92"/>
        <v>0</v>
      </c>
      <c r="Q585" s="12">
        <f t="shared" si="92"/>
        <v>0</v>
      </c>
      <c r="R585" s="12">
        <f t="shared" si="92"/>
        <v>177744.94</v>
      </c>
      <c r="S585" s="12">
        <f t="shared" si="92"/>
        <v>74938.01999999996</v>
      </c>
      <c r="T585" s="12">
        <f t="shared" si="92"/>
        <v>32612.609999999811</v>
      </c>
      <c r="U585" s="12">
        <f t="shared" si="92"/>
        <v>42418.330000000307</v>
      </c>
      <c r="V585" s="12">
        <f t="shared" si="92"/>
        <v>319193.32999999926</v>
      </c>
      <c r="W585" s="12">
        <f t="shared" si="92"/>
        <v>0</v>
      </c>
      <c r="X585" s="12">
        <f t="shared" si="92"/>
        <v>0</v>
      </c>
      <c r="Y585" s="12">
        <f t="shared" si="92"/>
        <v>-156089.01999999981</v>
      </c>
      <c r="Z585" s="12">
        <f t="shared" si="92"/>
        <v>-254204.58999999968</v>
      </c>
      <c r="AA585" s="12">
        <f t="shared" si="92"/>
        <v>82726.730000000098</v>
      </c>
      <c r="AB585" s="12">
        <f t="shared" si="92"/>
        <v>49195.0699999996</v>
      </c>
      <c r="AC585" s="12">
        <f t="shared" si="92"/>
        <v>52763.870000000243</v>
      </c>
      <c r="AD585" s="12">
        <f t="shared" si="92"/>
        <v>0</v>
      </c>
      <c r="AE585" s="12">
        <f t="shared" si="92"/>
        <v>0</v>
      </c>
      <c r="AF585" s="12">
        <f t="shared" si="92"/>
        <v>0</v>
      </c>
      <c r="AG585" s="12">
        <f t="shared" si="92"/>
        <v>0</v>
      </c>
      <c r="AH585" s="12">
        <f t="shared" si="92"/>
        <v>0</v>
      </c>
    </row>
    <row r="588" spans="1:35">
      <c r="K588" s="12" t="s">
        <v>195</v>
      </c>
      <c r="N588" s="12" t="s">
        <v>152</v>
      </c>
      <c r="O588" s="12" t="s">
        <v>196</v>
      </c>
      <c r="R588" s="12" t="s">
        <v>196</v>
      </c>
      <c r="V588" s="12" t="s">
        <v>171</v>
      </c>
      <c r="Y588" s="12" t="s">
        <v>152</v>
      </c>
      <c r="Z588" s="12" t="s">
        <v>152</v>
      </c>
    </row>
    <row r="590" spans="1:35">
      <c r="AB590" s="12" t="s">
        <v>110</v>
      </c>
      <c r="AC590" s="12" t="s">
        <v>194</v>
      </c>
      <c r="AF590" s="12" t="s">
        <v>194</v>
      </c>
      <c r="AG590" s="12" t="s">
        <v>194</v>
      </c>
      <c r="AH590" s="12" t="s">
        <v>194</v>
      </c>
    </row>
    <row r="591" spans="1:35">
      <c r="E591" s="28">
        <v>2</v>
      </c>
      <c r="F591" s="28">
        <v>3</v>
      </c>
      <c r="G591" s="28">
        <v>4</v>
      </c>
      <c r="H591" s="28">
        <v>5</v>
      </c>
      <c r="K591" s="28">
        <v>6</v>
      </c>
      <c r="L591" s="28">
        <v>9</v>
      </c>
      <c r="M591" s="28">
        <v>10</v>
      </c>
      <c r="N591" s="28">
        <v>11</v>
      </c>
      <c r="O591" s="28">
        <v>12</v>
      </c>
      <c r="P591" s="28">
        <v>5</v>
      </c>
      <c r="R591" s="28">
        <v>13</v>
      </c>
      <c r="S591" s="28">
        <v>16</v>
      </c>
      <c r="T591" s="28">
        <v>17</v>
      </c>
      <c r="U591" s="28">
        <v>18</v>
      </c>
      <c r="V591" s="28">
        <v>19</v>
      </c>
      <c r="W591" s="28">
        <v>17</v>
      </c>
      <c r="X591" s="28">
        <v>20</v>
      </c>
      <c r="Y591" s="28">
        <v>20</v>
      </c>
      <c r="Z591" s="28">
        <v>23</v>
      </c>
      <c r="AA591" s="28">
        <v>24</v>
      </c>
      <c r="AB591" s="28">
        <v>25</v>
      </c>
      <c r="AC591" s="28">
        <v>26</v>
      </c>
      <c r="AD591" s="28">
        <v>17</v>
      </c>
      <c r="AE591" s="28">
        <v>17</v>
      </c>
      <c r="AF591" s="28">
        <v>27</v>
      </c>
      <c r="AG591" s="28">
        <v>30</v>
      </c>
      <c r="AH591" s="28">
        <v>31</v>
      </c>
      <c r="AI591"/>
    </row>
    <row r="592" spans="1:35">
      <c r="A592" s="18" t="s">
        <v>45</v>
      </c>
      <c r="B592" s="18">
        <v>2013</v>
      </c>
      <c r="E592" s="49" t="s">
        <v>3</v>
      </c>
      <c r="F592" s="49" t="s">
        <v>4</v>
      </c>
      <c r="G592" s="49" t="s">
        <v>5</v>
      </c>
      <c r="H592" s="49" t="s">
        <v>22</v>
      </c>
      <c r="I592" s="49" t="s">
        <v>6</v>
      </c>
      <c r="J592" s="49" t="s">
        <v>22</v>
      </c>
      <c r="K592" s="49" t="s">
        <v>6</v>
      </c>
      <c r="L592" s="49" t="s">
        <v>3</v>
      </c>
      <c r="M592" s="49" t="s">
        <v>4</v>
      </c>
      <c r="N592" s="49" t="s">
        <v>5</v>
      </c>
      <c r="O592" s="49" t="s">
        <v>22</v>
      </c>
      <c r="P592" s="49" t="s">
        <v>6</v>
      </c>
      <c r="Q592" s="49" t="s">
        <v>22</v>
      </c>
      <c r="R592" s="49" t="s">
        <v>6</v>
      </c>
      <c r="S592" s="49" t="s">
        <v>3</v>
      </c>
      <c r="T592" s="49" t="s">
        <v>4</v>
      </c>
      <c r="U592" s="49" t="s">
        <v>5</v>
      </c>
      <c r="V592" s="49" t="s">
        <v>22</v>
      </c>
      <c r="W592" s="49" t="s">
        <v>6</v>
      </c>
      <c r="X592" s="49" t="s">
        <v>22</v>
      </c>
      <c r="Y592" s="49" t="s">
        <v>6</v>
      </c>
      <c r="Z592" s="49" t="s">
        <v>3</v>
      </c>
      <c r="AA592" s="49" t="s">
        <v>4</v>
      </c>
      <c r="AB592" s="49" t="s">
        <v>5</v>
      </c>
      <c r="AC592" s="49" t="s">
        <v>22</v>
      </c>
      <c r="AD592" s="49" t="s">
        <v>6</v>
      </c>
      <c r="AE592" s="49" t="s">
        <v>22</v>
      </c>
      <c r="AF592" s="49" t="s">
        <v>6</v>
      </c>
      <c r="AG592" s="49" t="s">
        <v>3</v>
      </c>
      <c r="AH592" s="49" t="s">
        <v>4</v>
      </c>
      <c r="AI592"/>
    </row>
    <row r="593" spans="1:36">
      <c r="A593" s="12" t="s">
        <v>47</v>
      </c>
      <c r="E593" s="86">
        <v>2224590.27</v>
      </c>
      <c r="F593" s="86">
        <v>2258318.35</v>
      </c>
      <c r="G593" s="85">
        <v>2308436.5</v>
      </c>
      <c r="H593" s="12">
        <v>2376849.16</v>
      </c>
      <c r="K593" s="86">
        <v>2458698.04</v>
      </c>
      <c r="L593" s="12">
        <v>2536989.65</v>
      </c>
      <c r="M593" s="86">
        <v>2630547.2400000002</v>
      </c>
      <c r="N593" s="86">
        <v>2415543.46</v>
      </c>
      <c r="O593" s="86">
        <v>2467997.41</v>
      </c>
      <c r="R593" s="86">
        <v>2565419.37</v>
      </c>
      <c r="S593" s="86">
        <v>2642551.94</v>
      </c>
      <c r="T593" s="86">
        <v>2722438.5</v>
      </c>
      <c r="U593" s="86">
        <v>2793095.29</v>
      </c>
      <c r="V593" s="86">
        <v>2445160.94</v>
      </c>
      <c r="Y593" s="85">
        <v>2528183.04</v>
      </c>
      <c r="Z593" s="85">
        <v>2631553.39</v>
      </c>
      <c r="AA593" s="85">
        <v>2710481.37</v>
      </c>
      <c r="AC593" s="85">
        <v>2754758.35</v>
      </c>
      <c r="AF593" s="85">
        <v>2789681.89</v>
      </c>
      <c r="AG593" s="85">
        <v>2809385.54</v>
      </c>
      <c r="AH593" s="85">
        <v>2841071.5</v>
      </c>
      <c r="AI593"/>
    </row>
    <row r="594" spans="1:36">
      <c r="A594" s="12" t="s">
        <v>18</v>
      </c>
      <c r="E594" s="12">
        <v>-8393.8599999998332</v>
      </c>
      <c r="F594" s="12">
        <v>-10068.799999999923</v>
      </c>
      <c r="G594" s="12">
        <v>389925.30999999965</v>
      </c>
      <c r="H594" s="12">
        <v>359463.78999999975</v>
      </c>
      <c r="K594" s="12">
        <v>328012.80999999982</v>
      </c>
      <c r="L594" s="58">
        <v>-216925.24000000011</v>
      </c>
      <c r="M594" s="12">
        <v>-218887.38999999996</v>
      </c>
      <c r="N594" s="12">
        <v>-232518.36</v>
      </c>
      <c r="O594" s="12">
        <v>-266388.65000000008</v>
      </c>
      <c r="R594" s="12">
        <v>-272734.23000000004</v>
      </c>
      <c r="S594" s="12">
        <v>-56281.620000000017</v>
      </c>
      <c r="T594" s="12">
        <v>-100663.00000000007</v>
      </c>
      <c r="U594" s="12">
        <v>-132012.0800000001</v>
      </c>
      <c r="V594" s="12">
        <v>-549315.94000000018</v>
      </c>
      <c r="Y594" s="12">
        <v>-281301.5900000002</v>
      </c>
      <c r="AI594"/>
    </row>
    <row r="595" spans="1:36">
      <c r="A595" t="s">
        <v>21</v>
      </c>
      <c r="E595" s="16">
        <v>0</v>
      </c>
      <c r="F595" s="16">
        <v>0</v>
      </c>
      <c r="G595" s="16">
        <v>0</v>
      </c>
      <c r="H595" s="16">
        <v>0</v>
      </c>
      <c r="I595" s="16"/>
      <c r="J595" s="16"/>
      <c r="K595" s="16">
        <v>0</v>
      </c>
      <c r="L595" s="16">
        <v>0</v>
      </c>
      <c r="M595" s="16">
        <v>0</v>
      </c>
      <c r="N595" s="16">
        <v>300000</v>
      </c>
      <c r="O595" s="16">
        <v>300000</v>
      </c>
      <c r="P595" s="16"/>
      <c r="Q595" s="16"/>
      <c r="R595" s="16">
        <v>300000</v>
      </c>
      <c r="S595" s="16">
        <v>0</v>
      </c>
      <c r="T595" s="16"/>
      <c r="U595" s="16"/>
      <c r="V595" s="16">
        <v>400000</v>
      </c>
      <c r="W595" s="16"/>
      <c r="X595" s="16"/>
      <c r="Y595" s="16">
        <v>400000</v>
      </c>
      <c r="Z595" s="16"/>
      <c r="AA595" s="16"/>
      <c r="AB595" s="16"/>
      <c r="AC595" s="16"/>
      <c r="AD595" s="16"/>
      <c r="AE595" s="16"/>
      <c r="AF595" s="16"/>
      <c r="AG595" s="16"/>
      <c r="AH595" s="16"/>
      <c r="AI595"/>
    </row>
    <row r="596" spans="1:36">
      <c r="A596" t="s">
        <v>122</v>
      </c>
      <c r="E596" s="12">
        <f>SUM(E593:E595)</f>
        <v>2216196.41</v>
      </c>
      <c r="F596" s="12">
        <f t="shared" ref="F596:AF596" si="93">SUM(F593:F595)</f>
        <v>2248249.5500000003</v>
      </c>
      <c r="G596" s="12">
        <f t="shared" si="93"/>
        <v>2698361.8099999996</v>
      </c>
      <c r="H596" s="12">
        <f t="shared" si="93"/>
        <v>2736312.9499999997</v>
      </c>
      <c r="I596" s="12">
        <f t="shared" si="93"/>
        <v>0</v>
      </c>
      <c r="J596" s="12">
        <f t="shared" si="93"/>
        <v>0</v>
      </c>
      <c r="K596" s="12">
        <f t="shared" si="93"/>
        <v>2786710.8499999996</v>
      </c>
      <c r="L596" s="12">
        <f t="shared" si="93"/>
        <v>2320064.4099999997</v>
      </c>
      <c r="M596" s="12">
        <f t="shared" si="93"/>
        <v>2411659.85</v>
      </c>
      <c r="N596" s="12">
        <f t="shared" si="93"/>
        <v>2483025.1</v>
      </c>
      <c r="O596" s="12">
        <f t="shared" si="93"/>
        <v>2501608.7600000002</v>
      </c>
      <c r="P596" s="12">
        <f t="shared" si="93"/>
        <v>0</v>
      </c>
      <c r="Q596" s="12">
        <f t="shared" si="93"/>
        <v>0</v>
      </c>
      <c r="R596" s="12">
        <f t="shared" si="93"/>
        <v>2592685.14</v>
      </c>
      <c r="S596" s="12">
        <f t="shared" si="93"/>
        <v>2586270.3199999998</v>
      </c>
      <c r="T596" s="12">
        <f t="shared" si="93"/>
        <v>2621775.5</v>
      </c>
      <c r="U596" s="12">
        <f t="shared" si="93"/>
        <v>2661083.21</v>
      </c>
      <c r="V596" s="12">
        <f t="shared" si="93"/>
        <v>2295845</v>
      </c>
      <c r="W596" s="12">
        <f t="shared" si="93"/>
        <v>0</v>
      </c>
      <c r="X596" s="12">
        <f t="shared" si="93"/>
        <v>0</v>
      </c>
      <c r="Y596" s="12">
        <f t="shared" si="93"/>
        <v>2646881.4499999997</v>
      </c>
      <c r="Z596" s="12">
        <f t="shared" si="93"/>
        <v>2631553.39</v>
      </c>
      <c r="AA596" s="12">
        <f t="shared" si="93"/>
        <v>2710481.37</v>
      </c>
      <c r="AB596" s="12">
        <f t="shared" si="93"/>
        <v>0</v>
      </c>
      <c r="AC596" s="12">
        <f t="shared" si="93"/>
        <v>2754758.35</v>
      </c>
      <c r="AD596" s="12">
        <f t="shared" si="93"/>
        <v>0</v>
      </c>
      <c r="AE596" s="12">
        <f t="shared" si="93"/>
        <v>0</v>
      </c>
      <c r="AF596" s="12">
        <f t="shared" si="93"/>
        <v>2789681.89</v>
      </c>
      <c r="AG596" s="12">
        <f t="shared" ref="AG596" si="94">SUM(AG593:AG595)</f>
        <v>2809385.54</v>
      </c>
      <c r="AH596" s="12">
        <f t="shared" ref="AH596" si="95">SUM(AH593:AH595)</f>
        <v>2841071.5</v>
      </c>
      <c r="AI596"/>
    </row>
    <row r="599" spans="1:36">
      <c r="A599" s="18" t="s">
        <v>48</v>
      </c>
      <c r="E599" s="91">
        <f>+E593-AG577</f>
        <v>48961.399999999907</v>
      </c>
      <c r="F599" s="91">
        <f t="shared" ref="F599:H600" si="96">+F593-E593</f>
        <v>33728.080000000075</v>
      </c>
      <c r="G599" s="12">
        <f t="shared" si="96"/>
        <v>50118.149999999907</v>
      </c>
      <c r="H599" s="12">
        <f t="shared" si="96"/>
        <v>68412.660000000149</v>
      </c>
      <c r="K599" s="12">
        <f>+K593-H593</f>
        <v>81848.879999999888</v>
      </c>
      <c r="L599" s="12">
        <f>+L593-K593</f>
        <v>78291.60999999987</v>
      </c>
      <c r="M599" s="12">
        <f>+M593-L593</f>
        <v>93557.590000000317</v>
      </c>
      <c r="N599" s="91">
        <f>+N593-M593+300000</f>
        <v>84996.219999999739</v>
      </c>
      <c r="O599" s="12">
        <f>+O593-N593</f>
        <v>52453.950000000186</v>
      </c>
      <c r="R599" s="12">
        <f>+R593-O593</f>
        <v>97421.959999999963</v>
      </c>
      <c r="S599" s="12">
        <f>+S593-R593</f>
        <v>77132.569999999832</v>
      </c>
      <c r="T599" s="91">
        <f>+T593-S593</f>
        <v>79886.560000000056</v>
      </c>
      <c r="U599" s="91">
        <f>+U593-T593</f>
        <v>70656.790000000037</v>
      </c>
      <c r="V599" s="91">
        <f>+V593-U593+400000</f>
        <v>52065.649999999907</v>
      </c>
      <c r="Y599" s="12">
        <f>+Y593-V593</f>
        <v>83022.100000000093</v>
      </c>
      <c r="Z599" s="12">
        <f>+Z593-Y593</f>
        <v>103370.35000000009</v>
      </c>
      <c r="AA599" s="12">
        <f>+AA593-Z593</f>
        <v>78927.979999999981</v>
      </c>
      <c r="AC599" s="12">
        <f>+AC593-AA593</f>
        <v>44276.979999999981</v>
      </c>
      <c r="AF599" s="12">
        <f>+AF593-AC593</f>
        <v>34923.540000000037</v>
      </c>
      <c r="AG599" s="12">
        <f>+AG593-AF593</f>
        <v>19703.649999999907</v>
      </c>
      <c r="AH599" s="12">
        <f>+AH593-AG593</f>
        <v>31685.959999999963</v>
      </c>
    </row>
    <row r="600" spans="1:36">
      <c r="A600" s="18" t="s">
        <v>49</v>
      </c>
      <c r="E600" s="16">
        <f>+E594-AC578</f>
        <v>-4114.8699999999817</v>
      </c>
      <c r="F600" s="16">
        <f t="shared" si="96"/>
        <v>-1674.9400000000896</v>
      </c>
      <c r="G600" s="16">
        <f t="shared" si="96"/>
        <v>399994.10999999958</v>
      </c>
      <c r="H600" s="16">
        <f t="shared" si="96"/>
        <v>-30461.519999999902</v>
      </c>
      <c r="I600" s="16"/>
      <c r="J600" s="16"/>
      <c r="K600" s="16">
        <f>+K594-H594</f>
        <v>-31450.979999999923</v>
      </c>
      <c r="L600" s="16">
        <f>+L594-K594</f>
        <v>-544938.04999999993</v>
      </c>
      <c r="M600" s="16">
        <f>+M594-L594</f>
        <v>-1962.1499999998487</v>
      </c>
      <c r="N600" s="16">
        <f>+N594-M594</f>
        <v>-13630.97000000003</v>
      </c>
      <c r="O600" s="16">
        <f>+O594-N594</f>
        <v>-33870.290000000095</v>
      </c>
      <c r="P600" s="16"/>
      <c r="Q600" s="16"/>
      <c r="R600" s="16">
        <f>+R594-O594</f>
        <v>-6345.5799999999581</v>
      </c>
      <c r="S600" s="16">
        <f>+S594-R594-300000</f>
        <v>-83547.389999999985</v>
      </c>
      <c r="T600" s="16">
        <f>+T594-S594</f>
        <v>-44381.380000000056</v>
      </c>
      <c r="U600" s="16">
        <f>+U594-T594</f>
        <v>-31349.080000000031</v>
      </c>
      <c r="V600" s="16">
        <f>+V594-U594</f>
        <v>-417303.8600000001</v>
      </c>
      <c r="W600" s="16"/>
      <c r="X600" s="16"/>
      <c r="Y600" s="16">
        <f>+Y594-V594</f>
        <v>268014.34999999998</v>
      </c>
      <c r="Z600" s="16"/>
      <c r="AA600" s="16"/>
      <c r="AB600" s="16"/>
      <c r="AC600" s="16"/>
      <c r="AD600" s="16"/>
      <c r="AE600" s="16"/>
      <c r="AF600" s="16"/>
      <c r="AG600" s="16"/>
      <c r="AH600" s="16"/>
    </row>
    <row r="601" spans="1:36">
      <c r="A601" t="s">
        <v>160</v>
      </c>
      <c r="E601" s="12">
        <f>SUM(E599:E600)</f>
        <v>44846.529999999926</v>
      </c>
      <c r="F601" s="12">
        <f t="shared" ref="F601:AH601" si="97">SUM(F599:F600)</f>
        <v>32053.139999999985</v>
      </c>
      <c r="G601" s="12">
        <f t="shared" si="97"/>
        <v>450112.25999999949</v>
      </c>
      <c r="H601" s="12">
        <f t="shared" si="97"/>
        <v>37951.140000000247</v>
      </c>
      <c r="I601" s="12">
        <f t="shared" si="97"/>
        <v>0</v>
      </c>
      <c r="J601" s="12">
        <f t="shared" si="97"/>
        <v>0</v>
      </c>
      <c r="K601" s="12">
        <f t="shared" si="97"/>
        <v>50397.899999999965</v>
      </c>
      <c r="L601" s="12">
        <f t="shared" si="97"/>
        <v>-466646.44000000006</v>
      </c>
      <c r="M601" s="12">
        <f t="shared" si="97"/>
        <v>91595.440000000468</v>
      </c>
      <c r="N601" s="12">
        <f t="shared" si="97"/>
        <v>71365.249999999709</v>
      </c>
      <c r="O601" s="12">
        <f t="shared" si="97"/>
        <v>18583.660000000091</v>
      </c>
      <c r="P601" s="12">
        <f t="shared" si="97"/>
        <v>0</v>
      </c>
      <c r="Q601" s="12">
        <f t="shared" si="97"/>
        <v>0</v>
      </c>
      <c r="R601" s="12">
        <f t="shared" si="97"/>
        <v>91076.38</v>
      </c>
      <c r="S601" s="12">
        <f t="shared" si="97"/>
        <v>-6414.8200000001525</v>
      </c>
      <c r="T601" s="12">
        <f t="shared" si="97"/>
        <v>35505.18</v>
      </c>
      <c r="U601" s="12">
        <f t="shared" si="97"/>
        <v>39307.710000000006</v>
      </c>
      <c r="V601" s="12">
        <f t="shared" si="97"/>
        <v>-365238.2100000002</v>
      </c>
      <c r="W601" s="12">
        <f t="shared" si="97"/>
        <v>0</v>
      </c>
      <c r="X601" s="12">
        <f t="shared" si="97"/>
        <v>0</v>
      </c>
      <c r="Y601" s="12">
        <f t="shared" si="97"/>
        <v>351036.45000000007</v>
      </c>
      <c r="Z601" s="12">
        <f t="shared" si="97"/>
        <v>103370.35000000009</v>
      </c>
      <c r="AA601" s="12">
        <f t="shared" si="97"/>
        <v>78927.979999999981</v>
      </c>
      <c r="AB601" s="12">
        <f t="shared" si="97"/>
        <v>0</v>
      </c>
      <c r="AC601" s="12">
        <f t="shared" si="97"/>
        <v>44276.979999999981</v>
      </c>
      <c r="AD601" s="12">
        <f t="shared" si="97"/>
        <v>0</v>
      </c>
      <c r="AE601" s="12">
        <f t="shared" si="97"/>
        <v>0</v>
      </c>
      <c r="AF601" s="12">
        <f t="shared" si="97"/>
        <v>34923.540000000037</v>
      </c>
      <c r="AG601" s="12">
        <f t="shared" si="97"/>
        <v>19703.649999999907</v>
      </c>
      <c r="AH601" s="12">
        <f t="shared" si="97"/>
        <v>31685.959999999963</v>
      </c>
    </row>
    <row r="604" spans="1:36">
      <c r="G604" s="12" t="s">
        <v>182</v>
      </c>
      <c r="V604" s="12" t="s">
        <v>156</v>
      </c>
    </row>
    <row r="606" spans="1:36">
      <c r="E606" s="12" t="s">
        <v>110</v>
      </c>
      <c r="V606" s="12" t="s">
        <v>110</v>
      </c>
    </row>
    <row r="607" spans="1:36">
      <c r="E607" s="28">
        <v>1</v>
      </c>
      <c r="F607" s="28">
        <v>2</v>
      </c>
      <c r="G607" s="28">
        <v>3</v>
      </c>
      <c r="H607" s="28">
        <v>6</v>
      </c>
      <c r="K607" s="28">
        <v>7</v>
      </c>
      <c r="L607" s="28">
        <v>8</v>
      </c>
      <c r="M607" s="28">
        <v>9</v>
      </c>
      <c r="N607" s="28">
        <v>10</v>
      </c>
      <c r="O607" s="28">
        <v>13</v>
      </c>
      <c r="P607" s="28">
        <v>5</v>
      </c>
      <c r="R607" s="28">
        <v>14</v>
      </c>
      <c r="S607" s="28">
        <v>15</v>
      </c>
      <c r="T607" s="28">
        <v>16</v>
      </c>
      <c r="U607" s="28">
        <v>17</v>
      </c>
      <c r="V607" s="28">
        <v>20</v>
      </c>
      <c r="W607" s="28">
        <v>17</v>
      </c>
      <c r="X607" s="28">
        <v>21</v>
      </c>
      <c r="Y607" s="28">
        <v>21</v>
      </c>
      <c r="Z607" s="28">
        <v>22</v>
      </c>
      <c r="AA607" s="28">
        <v>23</v>
      </c>
      <c r="AB607" s="28">
        <v>24</v>
      </c>
      <c r="AC607" s="28">
        <v>27</v>
      </c>
      <c r="AD607" s="28">
        <v>17</v>
      </c>
      <c r="AE607" s="28">
        <v>17</v>
      </c>
      <c r="AF607" s="28">
        <v>28</v>
      </c>
      <c r="AG607" s="28">
        <v>29</v>
      </c>
      <c r="AH607" s="28">
        <v>30</v>
      </c>
      <c r="AI607" s="28">
        <v>31</v>
      </c>
    </row>
    <row r="608" spans="1:36">
      <c r="A608" s="18" t="s">
        <v>46</v>
      </c>
      <c r="B608" s="18">
        <v>2014</v>
      </c>
      <c r="E608" s="49" t="s">
        <v>5</v>
      </c>
      <c r="F608" s="49" t="s">
        <v>22</v>
      </c>
      <c r="G608" s="49" t="s">
        <v>6</v>
      </c>
      <c r="H608" s="49" t="s">
        <v>3</v>
      </c>
      <c r="I608" s="49" t="s">
        <v>4</v>
      </c>
      <c r="J608" s="49" t="s">
        <v>5</v>
      </c>
      <c r="K608" s="49" t="s">
        <v>4</v>
      </c>
      <c r="L608" s="49" t="s">
        <v>5</v>
      </c>
      <c r="M608" s="49" t="s">
        <v>22</v>
      </c>
      <c r="N608" s="49" t="s">
        <v>6</v>
      </c>
      <c r="O608" s="49" t="s">
        <v>3</v>
      </c>
      <c r="P608" s="49" t="s">
        <v>4</v>
      </c>
      <c r="Q608" s="49" t="s">
        <v>5</v>
      </c>
      <c r="R608" s="49" t="s">
        <v>4</v>
      </c>
      <c r="S608" s="49" t="s">
        <v>5</v>
      </c>
      <c r="T608" s="49" t="s">
        <v>22</v>
      </c>
      <c r="U608" s="49" t="s">
        <v>6</v>
      </c>
      <c r="V608" s="49" t="s">
        <v>3</v>
      </c>
      <c r="W608" s="49" t="s">
        <v>4</v>
      </c>
      <c r="X608" s="49" t="s">
        <v>5</v>
      </c>
      <c r="Y608" s="49" t="s">
        <v>4</v>
      </c>
      <c r="Z608" s="49" t="s">
        <v>5</v>
      </c>
      <c r="AA608" s="49" t="s">
        <v>22</v>
      </c>
      <c r="AB608" s="49" t="s">
        <v>6</v>
      </c>
      <c r="AC608" s="49" t="s">
        <v>3</v>
      </c>
      <c r="AD608" s="49" t="s">
        <v>4</v>
      </c>
      <c r="AE608" s="49" t="s">
        <v>5</v>
      </c>
      <c r="AF608" s="49" t="s">
        <v>4</v>
      </c>
      <c r="AG608" s="49" t="s">
        <v>5</v>
      </c>
      <c r="AH608" s="49" t="s">
        <v>22</v>
      </c>
      <c r="AI608" s="49" t="s">
        <v>6</v>
      </c>
      <c r="AJ608" s="49"/>
    </row>
    <row r="609" spans="1:35">
      <c r="A609" s="12" t="s">
        <v>47</v>
      </c>
      <c r="F609" s="86">
        <v>2843404.42</v>
      </c>
      <c r="G609" s="86">
        <v>2469979.52</v>
      </c>
      <c r="H609" s="86">
        <v>2516435.84</v>
      </c>
      <c r="I609" s="89"/>
      <c r="J609" s="89"/>
      <c r="K609" s="86">
        <v>2548149.2999999998</v>
      </c>
      <c r="L609" s="86">
        <v>2583809.7200000002</v>
      </c>
      <c r="M609" s="86">
        <v>2722483.82</v>
      </c>
      <c r="N609" s="86">
        <v>2778908.4</v>
      </c>
      <c r="O609" s="86">
        <v>2887891.63</v>
      </c>
      <c r="P609" s="89"/>
      <c r="Q609" s="89"/>
      <c r="R609" s="86">
        <v>2945900.35</v>
      </c>
      <c r="S609" s="86">
        <v>3005684.65</v>
      </c>
      <c r="T609" s="86">
        <v>3066092.1</v>
      </c>
      <c r="U609" s="86">
        <v>3155344.58</v>
      </c>
      <c r="V609" s="89"/>
      <c r="W609" s="89"/>
      <c r="X609" s="89"/>
      <c r="Y609" s="86">
        <v>2517807.9300000002</v>
      </c>
      <c r="Z609" s="86">
        <v>2567471.0099999998</v>
      </c>
      <c r="AA609" s="86">
        <v>2640883.4500000002</v>
      </c>
      <c r="AB609" s="86">
        <v>2696904.83</v>
      </c>
      <c r="AC609" s="86">
        <v>2766967.94</v>
      </c>
      <c r="AF609" s="12">
        <v>2222208.83</v>
      </c>
      <c r="AG609" s="86">
        <v>2246712.5699999998</v>
      </c>
      <c r="AH609" s="86">
        <v>2321645.17</v>
      </c>
      <c r="AI609" s="86">
        <v>2425754.92</v>
      </c>
    </row>
    <row r="610" spans="1:35">
      <c r="A610" s="12" t="s">
        <v>18</v>
      </c>
      <c r="F610" s="12">
        <v>8711.8199999997887</v>
      </c>
      <c r="G610" s="12">
        <v>7796.0799999997398</v>
      </c>
      <c r="H610" s="12">
        <v>-490369.72</v>
      </c>
      <c r="K610" s="12">
        <v>-468953.19999999966</v>
      </c>
      <c r="L610" s="12">
        <v>-119459.5499999998</v>
      </c>
      <c r="M610" s="12">
        <v>-160232.02000000008</v>
      </c>
      <c r="N610" s="12">
        <v>-172666.22999999995</v>
      </c>
      <c r="O610" s="58">
        <v>44106.959999999919</v>
      </c>
      <c r="R610" s="12">
        <v>26862.949999999833</v>
      </c>
      <c r="S610" s="12">
        <v>-52469.049999999959</v>
      </c>
      <c r="T610" s="12">
        <v>-55771.380000000034</v>
      </c>
      <c r="U610" s="12">
        <v>-86531.13999999981</v>
      </c>
      <c r="Y610" s="12">
        <v>-625603.05000000016</v>
      </c>
      <c r="Z610" s="12">
        <v>-827122.38</v>
      </c>
      <c r="AA610" s="12">
        <v>-837315.49999999988</v>
      </c>
      <c r="AB610" s="12">
        <v>-839662.71</v>
      </c>
      <c r="AC610" s="12">
        <v>44776.369999999733</v>
      </c>
      <c r="AF610" s="12">
        <v>29805.209999999781</v>
      </c>
      <c r="AG610" s="12">
        <v>-26819.889999999967</v>
      </c>
      <c r="AH610" s="12">
        <v>-77574.169999999693</v>
      </c>
      <c r="AI610" s="12">
        <v>-95175.919999999795</v>
      </c>
    </row>
    <row r="611" spans="1:35">
      <c r="A611" t="s">
        <v>21</v>
      </c>
      <c r="E611" s="16">
        <v>0</v>
      </c>
      <c r="F611" s="16">
        <v>0</v>
      </c>
      <c r="G611" s="16">
        <v>400000</v>
      </c>
      <c r="H611" s="16">
        <v>400000</v>
      </c>
      <c r="I611" s="16"/>
      <c r="J611" s="16"/>
      <c r="K611" s="16">
        <v>400000</v>
      </c>
      <c r="L611" s="16">
        <v>0</v>
      </c>
      <c r="M611" s="16">
        <v>0</v>
      </c>
      <c r="N611" s="16">
        <v>0</v>
      </c>
      <c r="O611" s="16">
        <v>0</v>
      </c>
      <c r="P611" s="16"/>
      <c r="Q611" s="16"/>
      <c r="R611" s="16"/>
      <c r="S611" s="16"/>
      <c r="T611" s="16"/>
      <c r="U611" s="16"/>
      <c r="V611" s="16"/>
      <c r="W611" s="16"/>
      <c r="X611" s="16"/>
      <c r="Y611" s="16">
        <v>700000</v>
      </c>
      <c r="Z611" s="16">
        <v>700000</v>
      </c>
      <c r="AA611" s="16">
        <v>700000</v>
      </c>
      <c r="AB611" s="16">
        <v>700000</v>
      </c>
      <c r="AC611" s="16">
        <v>0</v>
      </c>
      <c r="AD611" s="16"/>
      <c r="AE611" s="16"/>
      <c r="AF611" s="16">
        <v>600000</v>
      </c>
      <c r="AG611" s="16">
        <v>600000</v>
      </c>
      <c r="AH611" s="16">
        <v>600000</v>
      </c>
      <c r="AI611" s="16">
        <v>600000</v>
      </c>
    </row>
    <row r="612" spans="1:35">
      <c r="A612" t="s">
        <v>122</v>
      </c>
      <c r="E612" s="12">
        <f>SUM(E609:E611)</f>
        <v>0</v>
      </c>
      <c r="F612" s="12">
        <f t="shared" ref="F612:AI612" si="98">SUM(F609:F611)</f>
        <v>2852116.2399999998</v>
      </c>
      <c r="G612" s="12">
        <f t="shared" si="98"/>
        <v>2877775.5999999996</v>
      </c>
      <c r="H612" s="12">
        <f t="shared" si="98"/>
        <v>2426066.12</v>
      </c>
      <c r="I612" s="12">
        <f t="shared" si="98"/>
        <v>0</v>
      </c>
      <c r="J612" s="12">
        <f t="shared" si="98"/>
        <v>0</v>
      </c>
      <c r="K612" s="12">
        <f t="shared" si="98"/>
        <v>2479196.1</v>
      </c>
      <c r="L612" s="12">
        <f t="shared" si="98"/>
        <v>2464350.1700000004</v>
      </c>
      <c r="M612" s="12">
        <f t="shared" si="98"/>
        <v>2562251.7999999998</v>
      </c>
      <c r="N612" s="12">
        <f t="shared" si="98"/>
        <v>2606242.17</v>
      </c>
      <c r="O612" s="12">
        <f t="shared" si="98"/>
        <v>2931998.59</v>
      </c>
      <c r="P612" s="12">
        <f t="shared" si="98"/>
        <v>0</v>
      </c>
      <c r="Q612" s="12">
        <f t="shared" si="98"/>
        <v>0</v>
      </c>
      <c r="R612" s="12">
        <f t="shared" si="98"/>
        <v>2972763.3</v>
      </c>
      <c r="S612" s="12">
        <f t="shared" si="98"/>
        <v>2953215.6</v>
      </c>
      <c r="T612" s="12">
        <f t="shared" si="98"/>
        <v>3010320.72</v>
      </c>
      <c r="U612" s="12">
        <f t="shared" si="98"/>
        <v>3068813.4400000004</v>
      </c>
      <c r="V612" s="12">
        <f t="shared" si="98"/>
        <v>0</v>
      </c>
      <c r="W612" s="12">
        <f t="shared" si="98"/>
        <v>0</v>
      </c>
      <c r="X612" s="12">
        <f t="shared" si="98"/>
        <v>0</v>
      </c>
      <c r="Y612" s="12">
        <f t="shared" si="98"/>
        <v>2592204.88</v>
      </c>
      <c r="Z612" s="12">
        <f t="shared" si="98"/>
        <v>2440348.63</v>
      </c>
      <c r="AA612" s="12">
        <f t="shared" si="98"/>
        <v>2503567.9500000002</v>
      </c>
      <c r="AB612" s="12">
        <f t="shared" si="98"/>
        <v>2557242.12</v>
      </c>
      <c r="AC612" s="12">
        <f t="shared" si="98"/>
        <v>2811744.3099999996</v>
      </c>
      <c r="AD612" s="12">
        <f t="shared" si="98"/>
        <v>0</v>
      </c>
      <c r="AE612" s="12">
        <f t="shared" si="98"/>
        <v>0</v>
      </c>
      <c r="AF612" s="12">
        <f t="shared" si="98"/>
        <v>2852014.04</v>
      </c>
      <c r="AG612" s="12">
        <f t="shared" si="98"/>
        <v>2819892.6799999997</v>
      </c>
      <c r="AH612" s="12">
        <f t="shared" si="98"/>
        <v>2844071</v>
      </c>
      <c r="AI612" s="12">
        <f t="shared" si="98"/>
        <v>2930579</v>
      </c>
    </row>
    <row r="615" spans="1:35">
      <c r="A615" s="18" t="s">
        <v>48</v>
      </c>
      <c r="F615" s="12">
        <f>+F609-AH593</f>
        <v>2332.9199999999255</v>
      </c>
      <c r="G615" s="12">
        <f>+G609-F609+400000</f>
        <v>26575.100000000093</v>
      </c>
      <c r="H615" s="12">
        <f>+H609-G609</f>
        <v>46456.319999999832</v>
      </c>
      <c r="K615" s="12">
        <f>+K609-H609</f>
        <v>31713.459999999963</v>
      </c>
      <c r="L615" s="12">
        <f>+L609-K609</f>
        <v>35660.420000000391</v>
      </c>
      <c r="M615" s="12">
        <f>+M609-L609</f>
        <v>138674.09999999963</v>
      </c>
      <c r="N615" s="12">
        <f>+N609-M609</f>
        <v>56424.580000000075</v>
      </c>
      <c r="O615" s="12">
        <f>+O609-N609</f>
        <v>108983.22999999998</v>
      </c>
      <c r="R615" s="12">
        <f>+R609-O609</f>
        <v>58008.720000000205</v>
      </c>
      <c r="S615" s="12">
        <f t="shared" ref="S615:U616" si="99">+S609-R609</f>
        <v>59784.299999999814</v>
      </c>
      <c r="T615" s="12">
        <f t="shared" si="99"/>
        <v>60407.450000000186</v>
      </c>
      <c r="U615" s="12">
        <f t="shared" si="99"/>
        <v>89252.479999999981</v>
      </c>
      <c r="Y615" s="12">
        <f>+Y609-U609+700000</f>
        <v>62463.350000000093</v>
      </c>
      <c r="Z615" s="12">
        <f t="shared" ref="Z615:AB616" si="100">+Z609-Y609</f>
        <v>49663.079999999609</v>
      </c>
      <c r="AA615" s="12">
        <f t="shared" si="100"/>
        <v>73412.44000000041</v>
      </c>
      <c r="AB615" s="91">
        <f t="shared" si="100"/>
        <v>56021.379999999888</v>
      </c>
      <c r="AC615" s="12">
        <f>+AC609-AB609</f>
        <v>70063.10999999987</v>
      </c>
      <c r="AF615" s="12">
        <f>+AF609-AC609+600000</f>
        <v>55240.89000000013</v>
      </c>
      <c r="AG615" s="12">
        <f>+AG609-AF609</f>
        <v>24503.739999999758</v>
      </c>
      <c r="AH615" s="12">
        <f>+AH609-AG609</f>
        <v>74932.600000000093</v>
      </c>
      <c r="AI615" s="12">
        <f>+AI609-AH609</f>
        <v>104109.75</v>
      </c>
    </row>
    <row r="616" spans="1:35">
      <c r="A616" s="18" t="s">
        <v>49</v>
      </c>
      <c r="E616" s="16"/>
      <c r="F616" s="16"/>
      <c r="G616" s="16">
        <f>+G610-F610</f>
        <v>-915.74000000004889</v>
      </c>
      <c r="H616" s="16">
        <f>+H610-G610</f>
        <v>-498165.7999999997</v>
      </c>
      <c r="I616" s="16"/>
      <c r="J616" s="16"/>
      <c r="K616" s="16">
        <f>+K610-H610</f>
        <v>21416.52000000031</v>
      </c>
      <c r="L616" s="16">
        <f>+L610-K610-400000</f>
        <v>-50506.350000000151</v>
      </c>
      <c r="M616" s="16">
        <f>+M610-L610</f>
        <v>-40772.470000000278</v>
      </c>
      <c r="N616" s="16">
        <f>+N610-M610</f>
        <v>-12434.209999999875</v>
      </c>
      <c r="O616" s="16">
        <f>+O610-N610</f>
        <v>216773.18999999989</v>
      </c>
      <c r="P616" s="16"/>
      <c r="Q616" s="16"/>
      <c r="R616" s="16">
        <f>+R610-O610</f>
        <v>-17244.010000000086</v>
      </c>
      <c r="S616" s="16">
        <f t="shared" si="99"/>
        <v>-79331.999999999796</v>
      </c>
      <c r="T616" s="16">
        <f t="shared" si="99"/>
        <v>-3302.3300000000745</v>
      </c>
      <c r="U616" s="16">
        <f t="shared" si="99"/>
        <v>-30759.759999999776</v>
      </c>
      <c r="V616" s="16"/>
      <c r="W616" s="16"/>
      <c r="X616" s="16"/>
      <c r="Y616" s="16">
        <f>+Y610-U610</f>
        <v>-539071.91000000038</v>
      </c>
      <c r="Z616" s="16">
        <f t="shared" si="100"/>
        <v>-201519.32999999984</v>
      </c>
      <c r="AA616" s="16">
        <f t="shared" si="100"/>
        <v>-10193.119999999879</v>
      </c>
      <c r="AB616" s="16">
        <f t="shared" si="100"/>
        <v>-2347.2100000000792</v>
      </c>
      <c r="AC616" s="16">
        <f>+AC610-AB610-700000</f>
        <v>184439.07999999973</v>
      </c>
      <c r="AD616" s="16"/>
      <c r="AE616" s="16"/>
      <c r="AF616" s="16">
        <f>+AF610-AC610</f>
        <v>-14971.159999999953</v>
      </c>
      <c r="AG616" s="16">
        <f>+AG610-AF610</f>
        <v>-56625.099999999744</v>
      </c>
      <c r="AH616" s="16">
        <f>+AH610-AG616</f>
        <v>-20949.069999999949</v>
      </c>
      <c r="AI616" s="16">
        <f>+AI610-AH610</f>
        <v>-17601.750000000102</v>
      </c>
    </row>
    <row r="617" spans="1:35">
      <c r="A617" t="s">
        <v>160</v>
      </c>
      <c r="E617" s="12">
        <f>+E616+E615</f>
        <v>0</v>
      </c>
      <c r="F617" s="12">
        <f t="shared" ref="F617:AI617" si="101">+F616+F615</f>
        <v>2332.9199999999255</v>
      </c>
      <c r="G617" s="12">
        <f t="shared" si="101"/>
        <v>25659.360000000044</v>
      </c>
      <c r="H617" s="12">
        <f t="shared" si="101"/>
        <v>-451709.47999999986</v>
      </c>
      <c r="I617" s="12">
        <f t="shared" si="101"/>
        <v>0</v>
      </c>
      <c r="J617" s="12">
        <f t="shared" si="101"/>
        <v>0</v>
      </c>
      <c r="K617" s="12">
        <f t="shared" si="101"/>
        <v>53129.980000000272</v>
      </c>
      <c r="L617" s="12">
        <f t="shared" si="101"/>
        <v>-14845.92999999976</v>
      </c>
      <c r="M617" s="12">
        <f t="shared" si="101"/>
        <v>97901.62999999935</v>
      </c>
      <c r="N617" s="12">
        <f t="shared" si="101"/>
        <v>43990.370000000199</v>
      </c>
      <c r="O617" s="12">
        <f t="shared" si="101"/>
        <v>325756.41999999987</v>
      </c>
      <c r="P617" s="12">
        <f t="shared" si="101"/>
        <v>0</v>
      </c>
      <c r="Q617" s="12">
        <f t="shared" si="101"/>
        <v>0</v>
      </c>
      <c r="R617" s="12">
        <f t="shared" si="101"/>
        <v>40764.710000000123</v>
      </c>
      <c r="S617" s="12">
        <f t="shared" si="101"/>
        <v>-19547.699999999983</v>
      </c>
      <c r="T617" s="12">
        <f t="shared" si="101"/>
        <v>57105.120000000112</v>
      </c>
      <c r="U617" s="12">
        <f t="shared" si="101"/>
        <v>58492.720000000205</v>
      </c>
      <c r="V617" s="12">
        <f t="shared" si="101"/>
        <v>0</v>
      </c>
      <c r="W617" s="12">
        <f t="shared" si="101"/>
        <v>0</v>
      </c>
      <c r="X617" s="12">
        <f t="shared" si="101"/>
        <v>0</v>
      </c>
      <c r="Y617" s="12">
        <f t="shared" si="101"/>
        <v>-476608.56000000029</v>
      </c>
      <c r="Z617" s="12">
        <f t="shared" si="101"/>
        <v>-151856.25000000023</v>
      </c>
      <c r="AA617" s="12">
        <f t="shared" si="101"/>
        <v>63219.320000000531</v>
      </c>
      <c r="AB617" s="12">
        <f t="shared" si="101"/>
        <v>53674.169999999809</v>
      </c>
      <c r="AC617" s="12">
        <f t="shared" si="101"/>
        <v>254502.18999999959</v>
      </c>
      <c r="AD617" s="12">
        <f t="shared" si="101"/>
        <v>0</v>
      </c>
      <c r="AE617" s="12">
        <f t="shared" si="101"/>
        <v>0</v>
      </c>
      <c r="AF617" s="12">
        <f t="shared" si="101"/>
        <v>40269.730000000178</v>
      </c>
      <c r="AG617" s="12">
        <f t="shared" si="101"/>
        <v>-32121.359999999986</v>
      </c>
      <c r="AH617" s="12">
        <f t="shared" si="101"/>
        <v>53983.530000000144</v>
      </c>
      <c r="AI617" s="12">
        <f t="shared" si="101"/>
        <v>86507.999999999898</v>
      </c>
    </row>
    <row r="620" spans="1:35">
      <c r="Z620" s="12" t="s">
        <v>197</v>
      </c>
    </row>
    <row r="623" spans="1:35">
      <c r="E623" s="28">
        <v>3</v>
      </c>
      <c r="F623" s="28">
        <v>4</v>
      </c>
      <c r="G623" s="28">
        <v>5</v>
      </c>
      <c r="H623" s="28">
        <v>6</v>
      </c>
      <c r="K623" s="28">
        <v>7</v>
      </c>
      <c r="L623" s="28">
        <v>10</v>
      </c>
      <c r="M623" s="28">
        <v>11</v>
      </c>
      <c r="N623" s="28">
        <v>12</v>
      </c>
      <c r="O623" s="28">
        <v>13</v>
      </c>
      <c r="P623" s="28">
        <v>14</v>
      </c>
      <c r="Q623" s="28">
        <v>15</v>
      </c>
      <c r="R623" s="28">
        <v>14</v>
      </c>
      <c r="S623" s="28">
        <v>17</v>
      </c>
      <c r="T623" s="28">
        <v>18</v>
      </c>
      <c r="U623" s="28">
        <v>19</v>
      </c>
      <c r="V623" s="28">
        <v>20</v>
      </c>
      <c r="W623" s="28">
        <v>14</v>
      </c>
      <c r="X623" s="28">
        <v>21</v>
      </c>
      <c r="Y623" s="28">
        <v>21</v>
      </c>
      <c r="Z623" s="28">
        <v>24</v>
      </c>
      <c r="AA623" s="28">
        <v>25</v>
      </c>
      <c r="AB623" s="28">
        <v>26</v>
      </c>
      <c r="AC623" s="28">
        <v>27</v>
      </c>
      <c r="AD623" s="28">
        <v>14</v>
      </c>
      <c r="AE623" s="28">
        <v>21</v>
      </c>
      <c r="AF623" s="28">
        <v>28</v>
      </c>
    </row>
    <row r="624" spans="1:35">
      <c r="A624" s="18" t="s">
        <v>15</v>
      </c>
      <c r="B624" s="18">
        <v>2014</v>
      </c>
      <c r="E624" s="49" t="s">
        <v>3</v>
      </c>
      <c r="F624" s="49" t="s">
        <v>4</v>
      </c>
      <c r="G624" s="49" t="s">
        <v>5</v>
      </c>
      <c r="H624" s="49" t="s">
        <v>22</v>
      </c>
      <c r="I624" s="49" t="s">
        <v>5</v>
      </c>
      <c r="J624" s="49" t="s">
        <v>22</v>
      </c>
      <c r="K624" s="49" t="s">
        <v>6</v>
      </c>
      <c r="L624" s="49" t="s">
        <v>3</v>
      </c>
      <c r="M624" s="49" t="s">
        <v>4</v>
      </c>
      <c r="N624" s="49" t="s">
        <v>5</v>
      </c>
      <c r="O624" s="49" t="s">
        <v>22</v>
      </c>
      <c r="P624" s="49" t="s">
        <v>5</v>
      </c>
      <c r="Q624" s="49" t="s">
        <v>22</v>
      </c>
      <c r="R624" s="49" t="s">
        <v>6</v>
      </c>
      <c r="S624" s="49" t="s">
        <v>3</v>
      </c>
      <c r="T624" s="49" t="s">
        <v>4</v>
      </c>
      <c r="U624" s="49" t="s">
        <v>5</v>
      </c>
      <c r="V624" s="49" t="s">
        <v>22</v>
      </c>
      <c r="W624" s="49" t="s">
        <v>5</v>
      </c>
      <c r="X624" s="49" t="s">
        <v>22</v>
      </c>
      <c r="Y624" s="49" t="s">
        <v>6</v>
      </c>
      <c r="Z624" s="49" t="s">
        <v>3</v>
      </c>
      <c r="AA624" s="49" t="s">
        <v>4</v>
      </c>
      <c r="AB624" s="49" t="s">
        <v>5</v>
      </c>
      <c r="AC624" s="49" t="s">
        <v>22</v>
      </c>
      <c r="AD624" s="49" t="s">
        <v>5</v>
      </c>
      <c r="AE624" s="49" t="s">
        <v>22</v>
      </c>
      <c r="AF624" s="49" t="s">
        <v>6</v>
      </c>
    </row>
    <row r="625" spans="1:33">
      <c r="A625" s="12" t="s">
        <v>47</v>
      </c>
      <c r="E625" s="86">
        <v>2522422.2799999998</v>
      </c>
      <c r="F625" s="86">
        <v>2588733.46</v>
      </c>
      <c r="G625" s="86">
        <v>2632927.6</v>
      </c>
      <c r="H625" s="86">
        <v>2338062.4900000002</v>
      </c>
      <c r="K625" s="85">
        <v>2402924.41</v>
      </c>
      <c r="L625" s="12">
        <v>2499038.86</v>
      </c>
      <c r="M625" s="12">
        <v>2561570.77</v>
      </c>
      <c r="N625" s="12">
        <v>2639647.2999999998</v>
      </c>
      <c r="O625" s="12">
        <v>2791840.44</v>
      </c>
      <c r="R625" s="12">
        <v>2841857.64</v>
      </c>
      <c r="S625" s="86">
        <v>2827297.11</v>
      </c>
      <c r="T625" s="86">
        <v>2905971.81</v>
      </c>
      <c r="U625" s="86">
        <v>3060523.06</v>
      </c>
      <c r="V625" s="86">
        <v>3104546.02</v>
      </c>
      <c r="Y625" s="12">
        <v>2813009.66</v>
      </c>
      <c r="Z625" s="86">
        <v>2880870.81</v>
      </c>
      <c r="AA625" s="86">
        <v>2933130.23</v>
      </c>
      <c r="AB625" s="86">
        <v>2600972.2599999998</v>
      </c>
      <c r="AC625" s="86">
        <v>2667868.0099999998</v>
      </c>
      <c r="AD625" s="89"/>
      <c r="AE625" s="89"/>
      <c r="AF625" s="86">
        <v>2767826.53</v>
      </c>
    </row>
    <row r="626" spans="1:33">
      <c r="A626" s="12" t="s">
        <v>18</v>
      </c>
      <c r="E626" s="12">
        <v>-39057.650000000256</v>
      </c>
      <c r="F626" s="12">
        <v>-11189.720000000207</v>
      </c>
      <c r="G626" s="12">
        <v>-21748.080000000096</v>
      </c>
      <c r="H626" s="12">
        <v>-66375.240000000049</v>
      </c>
      <c r="K626" s="12">
        <v>272189.50999999983</v>
      </c>
      <c r="L626" s="12">
        <v>263957.63</v>
      </c>
      <c r="M626" s="12">
        <v>244581.82</v>
      </c>
      <c r="N626" s="12">
        <v>211623.97</v>
      </c>
      <c r="O626" s="12">
        <v>207995.75</v>
      </c>
      <c r="R626" s="12">
        <v>128066.23</v>
      </c>
      <c r="T626" s="58">
        <v>-420031.47999999969</v>
      </c>
      <c r="U626" s="12">
        <v>-429515.07999999978</v>
      </c>
      <c r="V626" s="12">
        <v>-464850.45000000013</v>
      </c>
      <c r="Y626" s="12">
        <v>-499594.25</v>
      </c>
      <c r="Z626" s="12">
        <v>-501612.58999999997</v>
      </c>
      <c r="AA626" s="12">
        <v>-500869.0399999998</v>
      </c>
      <c r="AB626" s="12">
        <v>345792.16</v>
      </c>
      <c r="AC626" s="12">
        <v>265497.4699999998</v>
      </c>
      <c r="AF626" s="12">
        <v>604694.92999999982</v>
      </c>
    </row>
    <row r="627" spans="1:33">
      <c r="A627" t="s">
        <v>21</v>
      </c>
      <c r="E627" s="16">
        <v>0</v>
      </c>
      <c r="F627" s="16">
        <v>0</v>
      </c>
      <c r="G627" s="16">
        <v>0</v>
      </c>
      <c r="H627" s="16">
        <v>400000</v>
      </c>
      <c r="I627" s="16"/>
      <c r="J627" s="16"/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/>
      <c r="Q627" s="16"/>
      <c r="R627" s="16">
        <v>0</v>
      </c>
      <c r="S627" s="16">
        <v>0</v>
      </c>
      <c r="T627" s="16">
        <v>0</v>
      </c>
      <c r="U627" s="16">
        <v>0</v>
      </c>
      <c r="V627" s="16"/>
      <c r="W627" s="16"/>
      <c r="X627" s="16"/>
      <c r="Y627" s="16">
        <v>400000</v>
      </c>
      <c r="Z627" s="16">
        <v>400000</v>
      </c>
      <c r="AA627" s="16">
        <v>400000</v>
      </c>
      <c r="AB627" s="16">
        <v>400000</v>
      </c>
      <c r="AC627" s="16">
        <v>400000</v>
      </c>
      <c r="AD627" s="16"/>
      <c r="AE627" s="16"/>
      <c r="AF627" s="16">
        <v>0</v>
      </c>
    </row>
    <row r="628" spans="1:33">
      <c r="A628" t="s">
        <v>122</v>
      </c>
      <c r="E628" s="12">
        <f>SUM(E625:E627)</f>
        <v>2483364.6299999994</v>
      </c>
      <c r="F628" s="12">
        <f t="shared" ref="F628:AF628" si="102">SUM(F625:F627)</f>
        <v>2577543.7399999998</v>
      </c>
      <c r="G628" s="12">
        <f t="shared" si="102"/>
        <v>2611179.52</v>
      </c>
      <c r="H628" s="12">
        <f t="shared" si="102"/>
        <v>2671687.25</v>
      </c>
      <c r="I628" s="12">
        <f t="shared" si="102"/>
        <v>0</v>
      </c>
      <c r="J628" s="12">
        <f t="shared" si="102"/>
        <v>0</v>
      </c>
      <c r="K628" s="12">
        <f t="shared" si="102"/>
        <v>2675113.92</v>
      </c>
      <c r="L628" s="12">
        <f t="shared" si="102"/>
        <v>2762996.4899999998</v>
      </c>
      <c r="M628" s="12">
        <f t="shared" si="102"/>
        <v>2806152.59</v>
      </c>
      <c r="N628" s="12">
        <f t="shared" si="102"/>
        <v>2851271.27</v>
      </c>
      <c r="O628" s="12">
        <f t="shared" si="102"/>
        <v>2999836.19</v>
      </c>
      <c r="P628" s="12">
        <f t="shared" si="102"/>
        <v>0</v>
      </c>
      <c r="Q628" s="12">
        <f t="shared" si="102"/>
        <v>0</v>
      </c>
      <c r="R628" s="12">
        <f t="shared" si="102"/>
        <v>2969923.87</v>
      </c>
      <c r="S628" s="12">
        <f t="shared" si="102"/>
        <v>2827297.11</v>
      </c>
      <c r="T628" s="12">
        <f t="shared" si="102"/>
        <v>2485940.3300000005</v>
      </c>
      <c r="U628" s="12">
        <f t="shared" si="102"/>
        <v>2631007.9800000004</v>
      </c>
      <c r="V628" s="12">
        <f t="shared" si="102"/>
        <v>2639695.5699999998</v>
      </c>
      <c r="W628" s="12">
        <f t="shared" si="102"/>
        <v>0</v>
      </c>
      <c r="X628" s="12">
        <f t="shared" si="102"/>
        <v>0</v>
      </c>
      <c r="Y628" s="12">
        <f t="shared" si="102"/>
        <v>2713415.41</v>
      </c>
      <c r="Z628" s="12">
        <f t="shared" si="102"/>
        <v>2779258.22</v>
      </c>
      <c r="AA628" s="12">
        <f t="shared" si="102"/>
        <v>2832261.1900000004</v>
      </c>
      <c r="AB628" s="12">
        <f t="shared" si="102"/>
        <v>3346764.42</v>
      </c>
      <c r="AC628" s="12">
        <f t="shared" si="102"/>
        <v>3333365.4799999995</v>
      </c>
      <c r="AD628" s="12">
        <f t="shared" si="102"/>
        <v>0</v>
      </c>
      <c r="AE628" s="12">
        <f t="shared" si="102"/>
        <v>0</v>
      </c>
      <c r="AF628" s="12">
        <f t="shared" si="102"/>
        <v>3372521.4599999995</v>
      </c>
    </row>
    <row r="631" spans="1:33">
      <c r="A631" s="18" t="s">
        <v>48</v>
      </c>
      <c r="E631" s="91">
        <f>+E625-AI609</f>
        <v>96667.35999999987</v>
      </c>
      <c r="F631" s="12">
        <f>+F625-E625</f>
        <v>66311.180000000168</v>
      </c>
      <c r="G631" s="12">
        <f>+G625-F625</f>
        <v>44194.14000000013</v>
      </c>
      <c r="H631" s="91">
        <f>+H625-G625+400000</f>
        <v>105134.89000000013</v>
      </c>
      <c r="K631" s="12">
        <f>+K625-H625</f>
        <v>64861.919999999925</v>
      </c>
      <c r="L631" s="12">
        <f t="shared" ref="L631:N632" si="103">L625-K625</f>
        <v>96114.449999999721</v>
      </c>
      <c r="M631" s="12">
        <f t="shared" si="103"/>
        <v>62531.910000000149</v>
      </c>
      <c r="N631" s="12">
        <f t="shared" si="103"/>
        <v>78076.529999999795</v>
      </c>
      <c r="O631" s="12">
        <f>O625-N625</f>
        <v>152193.14000000013</v>
      </c>
      <c r="R631" s="12">
        <f>R625-O625</f>
        <v>50017.200000000186</v>
      </c>
      <c r="S631" s="12">
        <f t="shared" ref="S631:U632" si="104">+S625-R625</f>
        <v>-14560.530000000261</v>
      </c>
      <c r="T631" s="12">
        <f t="shared" si="104"/>
        <v>78674.700000000186</v>
      </c>
      <c r="U631" s="91">
        <f t="shared" si="104"/>
        <v>154551.25</v>
      </c>
      <c r="V631" s="12">
        <f>+V625-U625</f>
        <v>44022.959999999963</v>
      </c>
      <c r="Y631" s="12">
        <f>+Y625-V625+400000</f>
        <v>108463.64000000013</v>
      </c>
      <c r="Z631" s="12">
        <f>+Z625-Y625</f>
        <v>67861.149999999907</v>
      </c>
      <c r="AA631" s="91">
        <f>+AA625-Z625</f>
        <v>52259.419999999925</v>
      </c>
      <c r="AB631" s="12">
        <f>+AB625-AA625</f>
        <v>-332157.9700000002</v>
      </c>
      <c r="AC631" s="12">
        <f>+AC625-AB625</f>
        <v>66895.75</v>
      </c>
      <c r="AF631" s="12">
        <f>+AF625-AC625</f>
        <v>99958.520000000019</v>
      </c>
    </row>
    <row r="632" spans="1:33">
      <c r="A632" s="18" t="s">
        <v>49</v>
      </c>
      <c r="E632" s="16">
        <f>+E626-AI610-500000</f>
        <v>-443881.73000000045</v>
      </c>
      <c r="F632" s="16">
        <f>+F626-E626</f>
        <v>27867.930000000051</v>
      </c>
      <c r="G632" s="16">
        <f>+G626-F626</f>
        <v>-10558.35999999989</v>
      </c>
      <c r="H632" s="16">
        <f>+H626-G626</f>
        <v>-44627.159999999953</v>
      </c>
      <c r="I632" s="16"/>
      <c r="J632" s="16"/>
      <c r="K632" s="16">
        <f>+K626-H626-400000</f>
        <v>-61435.250000000116</v>
      </c>
      <c r="L632" s="16">
        <f t="shared" si="103"/>
        <v>-8231.87999999983</v>
      </c>
      <c r="M632" s="16">
        <f t="shared" si="103"/>
        <v>-19375.809999999998</v>
      </c>
      <c r="N632" s="16">
        <f t="shared" si="103"/>
        <v>-32957.850000000006</v>
      </c>
      <c r="O632" s="16">
        <f>O626-N626</f>
        <v>-3628.2200000000012</v>
      </c>
      <c r="P632" s="16"/>
      <c r="Q632" s="16"/>
      <c r="R632" s="16">
        <f>R626-O626</f>
        <v>-79929.52</v>
      </c>
      <c r="S632" s="16"/>
      <c r="T632" s="16">
        <f t="shared" si="104"/>
        <v>-420031.47999999969</v>
      </c>
      <c r="U632" s="16">
        <f t="shared" si="104"/>
        <v>-9483.6000000000931</v>
      </c>
      <c r="V632" s="16">
        <f>+V626-U626</f>
        <v>-35335.370000000345</v>
      </c>
      <c r="W632" s="16"/>
      <c r="X632" s="16"/>
      <c r="Y632" s="16">
        <f>+Y626-V626</f>
        <v>-34743.799999999872</v>
      </c>
      <c r="Z632" s="16">
        <f>+Z626-Y626</f>
        <v>-2018.3399999999674</v>
      </c>
      <c r="AA632" s="16">
        <f>+AA626-Z626</f>
        <v>743.55000000016298</v>
      </c>
      <c r="AB632" s="16">
        <f>+AB626-AA626-400000</f>
        <v>446661.19999999972</v>
      </c>
      <c r="AC632" s="16">
        <f>+AC626-AB626</f>
        <v>-80294.690000000177</v>
      </c>
      <c r="AD632" s="16"/>
      <c r="AE632" s="16"/>
      <c r="AF632" s="16">
        <f>+AF626-AC626-400000</f>
        <v>-60802.539999999979</v>
      </c>
    </row>
    <row r="633" spans="1:33">
      <c r="A633" t="s">
        <v>160</v>
      </c>
      <c r="E633" s="50">
        <f>SUM(E631:E632)</f>
        <v>-347214.37000000058</v>
      </c>
      <c r="F633" s="12">
        <f>SUM(F631:F632)</f>
        <v>94179.110000000219</v>
      </c>
      <c r="G633" s="12">
        <f>SUM(G631:G632)</f>
        <v>33635.780000000239</v>
      </c>
      <c r="H633" s="12">
        <f>SUM(H631:H632)</f>
        <v>60507.730000000178</v>
      </c>
      <c r="K633" s="12">
        <f>SUM(K631:K632)</f>
        <v>3426.6699999998091</v>
      </c>
      <c r="L633" s="12">
        <f>SUM(L631:L632)</f>
        <v>87882.569999999891</v>
      </c>
      <c r="M633" s="12">
        <f>SUM(M631:M632)</f>
        <v>43156.100000000151</v>
      </c>
      <c r="N633" s="12">
        <f>SUM(N631:N632)</f>
        <v>45118.679999999789</v>
      </c>
      <c r="O633" s="12">
        <f>SUM(O631:O632)</f>
        <v>148564.92000000013</v>
      </c>
      <c r="R633" s="12">
        <f>SUM(R631:R632)</f>
        <v>-29912.319999999818</v>
      </c>
      <c r="S633" s="12">
        <f>SUM(S631:S632)</f>
        <v>-14560.530000000261</v>
      </c>
      <c r="T633" s="12">
        <f>SUM(T631:T632)</f>
        <v>-341356.7799999995</v>
      </c>
      <c r="U633" s="91">
        <f>SUM(U631:U632)</f>
        <v>145067.64999999991</v>
      </c>
      <c r="V633" s="91">
        <f>SUM(V631:V632)</f>
        <v>8687.5899999996182</v>
      </c>
      <c r="Y633" s="12">
        <f>SUM(Y631:Y632)</f>
        <v>73719.840000000258</v>
      </c>
      <c r="Z633" s="12">
        <f>SUM(Z631:Z632)</f>
        <v>65842.809999999939</v>
      </c>
      <c r="AA633" s="91">
        <f>SUM(AA631:AA632)</f>
        <v>53002.970000000088</v>
      </c>
      <c r="AB633" s="12">
        <f>SUM(AB631:AB632)</f>
        <v>114503.22999999952</v>
      </c>
      <c r="AC633" s="12">
        <f>SUM(AC631:AC632)</f>
        <v>-13398.940000000177</v>
      </c>
      <c r="AF633" s="12">
        <f>SUM(AF631:AF632)</f>
        <v>39155.98000000004</v>
      </c>
    </row>
    <row r="635" spans="1:33">
      <c r="E635" s="12" t="s">
        <v>75</v>
      </c>
      <c r="AB635" s="30" t="s">
        <v>198</v>
      </c>
    </row>
    <row r="637" spans="1:33">
      <c r="E637" s="28">
        <v>3</v>
      </c>
      <c r="F637" s="28">
        <v>4</v>
      </c>
      <c r="G637" s="28">
        <v>5</v>
      </c>
      <c r="H637" s="28">
        <v>6</v>
      </c>
      <c r="K637" s="28">
        <v>7</v>
      </c>
      <c r="L637" s="28">
        <v>10</v>
      </c>
      <c r="M637" s="28">
        <v>11</v>
      </c>
      <c r="N637" s="28">
        <v>12</v>
      </c>
      <c r="O637" s="28">
        <v>13</v>
      </c>
      <c r="P637" s="28">
        <v>14</v>
      </c>
      <c r="Q637" s="28">
        <v>15</v>
      </c>
      <c r="R637" s="28">
        <v>14</v>
      </c>
      <c r="S637" s="28">
        <v>17</v>
      </c>
      <c r="T637" s="28">
        <v>18</v>
      </c>
      <c r="U637" s="28">
        <v>19</v>
      </c>
      <c r="V637" s="28">
        <v>20</v>
      </c>
      <c r="W637" s="28">
        <v>14</v>
      </c>
      <c r="X637" s="28">
        <v>21</v>
      </c>
      <c r="Y637" s="28">
        <v>21</v>
      </c>
      <c r="Z637" s="28">
        <v>24</v>
      </c>
      <c r="AA637" s="28">
        <v>25</v>
      </c>
      <c r="AB637" s="28">
        <v>26</v>
      </c>
      <c r="AC637" s="28">
        <v>27</v>
      </c>
      <c r="AD637" s="28">
        <v>14</v>
      </c>
      <c r="AE637" s="28">
        <v>21</v>
      </c>
      <c r="AF637" s="28">
        <v>28</v>
      </c>
      <c r="AG637" s="28">
        <v>31</v>
      </c>
    </row>
    <row r="638" spans="1:33">
      <c r="A638" s="18" t="s">
        <v>26</v>
      </c>
      <c r="B638" s="18">
        <v>2014</v>
      </c>
      <c r="E638" s="49" t="s">
        <v>3</v>
      </c>
      <c r="F638" s="49" t="s">
        <v>4</v>
      </c>
      <c r="G638" s="49" t="s">
        <v>5</v>
      </c>
      <c r="H638" s="49" t="s">
        <v>22</v>
      </c>
      <c r="I638" s="49" t="s">
        <v>5</v>
      </c>
      <c r="J638" s="49" t="s">
        <v>22</v>
      </c>
      <c r="K638" s="49" t="s">
        <v>6</v>
      </c>
      <c r="L638" s="49" t="s">
        <v>3</v>
      </c>
      <c r="M638" s="49" t="s">
        <v>4</v>
      </c>
      <c r="N638" s="49" t="s">
        <v>5</v>
      </c>
      <c r="O638" s="49" t="s">
        <v>22</v>
      </c>
      <c r="P638" s="49" t="s">
        <v>5</v>
      </c>
      <c r="Q638" s="49" t="s">
        <v>22</v>
      </c>
      <c r="R638" s="49" t="s">
        <v>6</v>
      </c>
      <c r="S638" s="49" t="s">
        <v>3</v>
      </c>
      <c r="T638" s="49" t="s">
        <v>4</v>
      </c>
      <c r="U638" s="49" t="s">
        <v>5</v>
      </c>
      <c r="V638" s="49" t="s">
        <v>22</v>
      </c>
      <c r="W638" s="49" t="s">
        <v>5</v>
      </c>
      <c r="X638" s="49" t="s">
        <v>22</v>
      </c>
      <c r="Y638" s="49" t="s">
        <v>6</v>
      </c>
      <c r="Z638" s="49" t="s">
        <v>3</v>
      </c>
      <c r="AA638" s="49" t="s">
        <v>4</v>
      </c>
      <c r="AB638" s="49" t="s">
        <v>5</v>
      </c>
      <c r="AC638" s="49" t="s">
        <v>22</v>
      </c>
      <c r="AD638" s="49" t="s">
        <v>5</v>
      </c>
      <c r="AE638" s="49" t="s">
        <v>22</v>
      </c>
      <c r="AF638" s="49" t="s">
        <v>6</v>
      </c>
      <c r="AG638" s="49" t="s">
        <v>3</v>
      </c>
    </row>
    <row r="639" spans="1:33">
      <c r="A639" s="12" t="s">
        <v>47</v>
      </c>
      <c r="E639" s="86">
        <v>2830024.88</v>
      </c>
      <c r="F639" s="86">
        <v>2857005.52</v>
      </c>
      <c r="G639" s="86">
        <v>2538313.16</v>
      </c>
      <c r="H639" s="86">
        <v>2577321.38</v>
      </c>
      <c r="K639" s="86">
        <v>2621640.19</v>
      </c>
      <c r="L639" s="86">
        <v>2696539.81</v>
      </c>
      <c r="M639" s="86">
        <v>2740573.07</v>
      </c>
      <c r="N639" s="86">
        <v>2789194.27</v>
      </c>
      <c r="O639" s="86">
        <v>2864679</v>
      </c>
      <c r="R639" s="86">
        <v>2379650.5699999998</v>
      </c>
      <c r="S639" s="86">
        <v>2462759.15</v>
      </c>
      <c r="T639" s="12">
        <v>2533479.86</v>
      </c>
      <c r="U639" s="12">
        <v>2612375.86</v>
      </c>
      <c r="V639" s="12">
        <v>2733944.89</v>
      </c>
      <c r="Y639" s="89">
        <v>2824232.44</v>
      </c>
      <c r="Z639" s="86">
        <v>2848071.16</v>
      </c>
      <c r="AA639" s="86">
        <v>2946347.82</v>
      </c>
      <c r="AB639" s="86">
        <v>3015409.61</v>
      </c>
      <c r="AC639" s="86">
        <v>3081429.02</v>
      </c>
      <c r="AF639" s="109">
        <v>2494984.65</v>
      </c>
      <c r="AG639" s="85">
        <v>2581686.2400000002</v>
      </c>
    </row>
    <row r="640" spans="1:33">
      <c r="A640" s="12" t="s">
        <v>18</v>
      </c>
      <c r="E640" s="12">
        <v>-297845.2</v>
      </c>
      <c r="F640" s="12">
        <v>-301528.82000000018</v>
      </c>
      <c r="G640" s="12">
        <v>-329038.0400000001</v>
      </c>
      <c r="H640" s="12">
        <v>-334320.51</v>
      </c>
      <c r="K640" s="89">
        <v>29060.409999999902</v>
      </c>
      <c r="L640" s="12">
        <v>23548.549999999916</v>
      </c>
      <c r="M640" s="12">
        <v>3029.229999999824</v>
      </c>
      <c r="N640" s="12">
        <v>-10462.100000000049</v>
      </c>
      <c r="O640" s="12">
        <v>-28420.650000000111</v>
      </c>
      <c r="R640" s="12">
        <v>-56733.980000000178</v>
      </c>
      <c r="S640" s="12">
        <v>-360996.90999999992</v>
      </c>
      <c r="T640" s="12">
        <v>-360166.45</v>
      </c>
      <c r="U640" s="12">
        <v>-374501.06</v>
      </c>
      <c r="V640" s="12">
        <v>-375609.14</v>
      </c>
      <c r="Y640" s="12">
        <v>170135.86</v>
      </c>
      <c r="Z640" s="12">
        <f>+Y640</f>
        <v>170135.86</v>
      </c>
      <c r="AA640" s="12">
        <v>132639.86000000004</v>
      </c>
      <c r="AB640" s="12">
        <v>85220.579999999987</v>
      </c>
      <c r="AC640" s="12">
        <v>-284353.24000000017</v>
      </c>
      <c r="AF640" s="12">
        <v>-79476.580000000249</v>
      </c>
      <c r="AG640" s="12">
        <v>40509.400000000081</v>
      </c>
    </row>
    <row r="641" spans="1:34">
      <c r="A641" t="s">
        <v>21</v>
      </c>
      <c r="E641" s="16">
        <v>0</v>
      </c>
      <c r="F641" s="16">
        <v>0</v>
      </c>
      <c r="G641" s="16">
        <v>400000</v>
      </c>
      <c r="H641" s="16">
        <v>400000</v>
      </c>
      <c r="I641" s="16"/>
      <c r="J641" s="16"/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/>
      <c r="Q641" s="16"/>
      <c r="R641" s="16">
        <v>600000</v>
      </c>
      <c r="S641" s="16">
        <v>600000</v>
      </c>
      <c r="T641" s="16">
        <v>600000</v>
      </c>
      <c r="U641" s="16">
        <v>600000</v>
      </c>
      <c r="V641" s="16">
        <v>600000</v>
      </c>
      <c r="W641" s="16"/>
      <c r="X641" s="16"/>
      <c r="Y641" s="16">
        <v>0</v>
      </c>
      <c r="Z641" s="16">
        <v>0</v>
      </c>
      <c r="AA641" s="16">
        <v>0</v>
      </c>
      <c r="AB641" s="16">
        <v>0</v>
      </c>
      <c r="AC641" s="107">
        <v>0</v>
      </c>
      <c r="AD641" s="16"/>
      <c r="AE641" s="16"/>
      <c r="AF641" s="16">
        <v>700000</v>
      </c>
      <c r="AG641" s="16">
        <v>0</v>
      </c>
    </row>
    <row r="642" spans="1:34">
      <c r="A642" t="s">
        <v>122</v>
      </c>
      <c r="E642" s="12">
        <f>SUM(E639:E641)</f>
        <v>2532179.6799999997</v>
      </c>
      <c r="F642" s="12">
        <f t="shared" ref="F642:AG642" si="105">SUM(F639:F641)</f>
        <v>2555476.6999999997</v>
      </c>
      <c r="G642" s="12">
        <f t="shared" si="105"/>
        <v>2609275.12</v>
      </c>
      <c r="H642" s="12">
        <f t="shared" si="105"/>
        <v>2643000.87</v>
      </c>
      <c r="I642" s="12">
        <f t="shared" si="105"/>
        <v>0</v>
      </c>
      <c r="J642" s="12">
        <f t="shared" si="105"/>
        <v>0</v>
      </c>
      <c r="K642" s="12">
        <f t="shared" si="105"/>
        <v>2650700.5999999996</v>
      </c>
      <c r="L642" s="12">
        <f t="shared" si="105"/>
        <v>2720088.36</v>
      </c>
      <c r="M642" s="12">
        <f t="shared" si="105"/>
        <v>2743602.3</v>
      </c>
      <c r="N642" s="12">
        <f t="shared" si="105"/>
        <v>2778732.17</v>
      </c>
      <c r="O642" s="12">
        <f t="shared" si="105"/>
        <v>2836258.35</v>
      </c>
      <c r="P642" s="12">
        <f t="shared" si="105"/>
        <v>0</v>
      </c>
      <c r="Q642" s="12">
        <f t="shared" si="105"/>
        <v>0</v>
      </c>
      <c r="R642" s="12">
        <f t="shared" si="105"/>
        <v>2922916.59</v>
      </c>
      <c r="S642" s="12">
        <f t="shared" si="105"/>
        <v>2701762.24</v>
      </c>
      <c r="T642" s="12">
        <f t="shared" si="105"/>
        <v>2773313.4099999997</v>
      </c>
      <c r="U642" s="12">
        <f t="shared" si="105"/>
        <v>2837874.8</v>
      </c>
      <c r="V642" s="12">
        <f t="shared" si="105"/>
        <v>2958335.75</v>
      </c>
      <c r="W642" s="12">
        <f t="shared" si="105"/>
        <v>0</v>
      </c>
      <c r="X642" s="12">
        <f t="shared" si="105"/>
        <v>0</v>
      </c>
      <c r="Y642" s="12">
        <f t="shared" si="105"/>
        <v>2994368.3</v>
      </c>
      <c r="Z642" s="12">
        <f t="shared" si="105"/>
        <v>3018207.02</v>
      </c>
      <c r="AA642" s="12">
        <f t="shared" si="105"/>
        <v>3078987.6799999997</v>
      </c>
      <c r="AB642" s="12">
        <f t="shared" si="105"/>
        <v>3100630.19</v>
      </c>
      <c r="AC642" s="12">
        <f t="shared" si="105"/>
        <v>2797075.78</v>
      </c>
      <c r="AD642" s="12">
        <f t="shared" si="105"/>
        <v>0</v>
      </c>
      <c r="AE642" s="12">
        <f t="shared" si="105"/>
        <v>0</v>
      </c>
      <c r="AF642" s="12">
        <f t="shared" si="105"/>
        <v>3115508.07</v>
      </c>
      <c r="AG642" s="12">
        <f t="shared" si="105"/>
        <v>2622195.64</v>
      </c>
    </row>
    <row r="645" spans="1:34">
      <c r="A645" s="18" t="s">
        <v>48</v>
      </c>
      <c r="E645" s="12">
        <f>+E639-AF625</f>
        <v>62198.350000000093</v>
      </c>
      <c r="F645" s="12">
        <f>+F639-E639</f>
        <v>26980.64000000013</v>
      </c>
      <c r="G645" s="91">
        <f>+G639-F639+400000</f>
        <v>81307.64000000013</v>
      </c>
      <c r="H645" s="12">
        <f>+H639-G639</f>
        <v>39008.219999999739</v>
      </c>
      <c r="K645" s="91">
        <f>+K639-H639</f>
        <v>44318.810000000056</v>
      </c>
      <c r="L645" s="91">
        <f t="shared" ref="L645:N646" si="106">+L639-K639</f>
        <v>74899.620000000112</v>
      </c>
      <c r="M645" s="12">
        <f t="shared" si="106"/>
        <v>44033.259999999776</v>
      </c>
      <c r="N645" s="91">
        <f t="shared" si="106"/>
        <v>48621.200000000186</v>
      </c>
      <c r="O645" s="12">
        <f>+O639-N639</f>
        <v>75484.729999999981</v>
      </c>
      <c r="R645" s="91">
        <f>+R639-O639+600000</f>
        <v>114971.56999999983</v>
      </c>
      <c r="S645" s="12">
        <f t="shared" ref="S645:V646" si="107">+S639-R639</f>
        <v>83108.580000000075</v>
      </c>
      <c r="T645" s="12">
        <f t="shared" si="107"/>
        <v>70720.709999999963</v>
      </c>
      <c r="U645" s="12">
        <f t="shared" si="107"/>
        <v>78896</v>
      </c>
      <c r="V645" s="12">
        <f t="shared" si="107"/>
        <v>121569.03000000026</v>
      </c>
      <c r="Y645" s="12">
        <f>+Y639-V639</f>
        <v>90287.549999999814</v>
      </c>
      <c r="Z645" s="12">
        <f t="shared" ref="Z645:AB646" si="108">+Z639-Y639</f>
        <v>23838.720000000205</v>
      </c>
      <c r="AA645" s="12">
        <f t="shared" si="108"/>
        <v>98276.659999999683</v>
      </c>
      <c r="AB645" s="91">
        <f t="shared" si="108"/>
        <v>69061.790000000037</v>
      </c>
      <c r="AC645" s="12">
        <f>+AC639-AB639</f>
        <v>66019.410000000149</v>
      </c>
      <c r="AF645" s="12">
        <f>+AF639-AC639</f>
        <v>-586444.37000000011</v>
      </c>
      <c r="AG645" s="12">
        <f>+AG639-AF639</f>
        <v>86701.590000000317</v>
      </c>
    </row>
    <row r="646" spans="1:34">
      <c r="A646" s="18" t="s">
        <v>49</v>
      </c>
      <c r="E646" s="16">
        <f>+E640-AF626</f>
        <v>-902540.12999999989</v>
      </c>
      <c r="F646" s="16">
        <f>+F640-E640</f>
        <v>-3683.62000000017</v>
      </c>
      <c r="G646" s="16">
        <f>+G640-F640</f>
        <v>-27509.219999999914</v>
      </c>
      <c r="H646" s="16">
        <f>+H640-G640</f>
        <v>-5282.4699999999139</v>
      </c>
      <c r="I646" s="16"/>
      <c r="J646" s="16"/>
      <c r="K646" s="16">
        <f>+K640-H640-400000</f>
        <v>-36619.080000000075</v>
      </c>
      <c r="L646" s="16">
        <f t="shared" si="106"/>
        <v>-5511.859999999986</v>
      </c>
      <c r="M646" s="16">
        <f t="shared" si="106"/>
        <v>-20519.320000000091</v>
      </c>
      <c r="N646" s="16">
        <f t="shared" si="106"/>
        <v>-13491.329999999874</v>
      </c>
      <c r="O646" s="16">
        <f>+O640-N640</f>
        <v>-17958.550000000061</v>
      </c>
      <c r="P646" s="16"/>
      <c r="Q646" s="16"/>
      <c r="R646" s="16">
        <f>+R640-O640</f>
        <v>-28313.330000000067</v>
      </c>
      <c r="S646" s="16">
        <f t="shared" si="107"/>
        <v>-304262.92999999976</v>
      </c>
      <c r="T646" s="16">
        <f t="shared" si="107"/>
        <v>830.45999999990454</v>
      </c>
      <c r="U646" s="16">
        <f t="shared" si="107"/>
        <v>-14334.609999999986</v>
      </c>
      <c r="V646" s="16">
        <f t="shared" si="107"/>
        <v>-1108.0800000000163</v>
      </c>
      <c r="W646" s="16"/>
      <c r="X646" s="16"/>
      <c r="Y646" s="16">
        <f>+Y640-V640-600000</f>
        <v>-54255</v>
      </c>
      <c r="Z646" s="16">
        <f t="shared" si="108"/>
        <v>0</v>
      </c>
      <c r="AA646" s="16">
        <f t="shared" si="108"/>
        <v>-37495.999999999942</v>
      </c>
      <c r="AB646" s="16">
        <f t="shared" si="108"/>
        <v>-47419.280000000057</v>
      </c>
      <c r="AC646" s="16">
        <f>+AC640-AB646</f>
        <v>-236933.96000000011</v>
      </c>
      <c r="AD646" s="16"/>
      <c r="AE646" s="16"/>
      <c r="AF646" s="16">
        <f>+AF640-AC640</f>
        <v>204876.65999999992</v>
      </c>
      <c r="AG646" s="16">
        <f>+AG640-AF640-700000</f>
        <v>-580014.01999999967</v>
      </c>
      <c r="AH646" s="16"/>
    </row>
    <row r="647" spans="1:34">
      <c r="A647" t="s">
        <v>160</v>
      </c>
      <c r="E647" s="50">
        <f>+E646+E645</f>
        <v>-840341.7799999998</v>
      </c>
      <c r="F647" s="50">
        <f t="shared" ref="F647:AG647" si="109">+F646+F645</f>
        <v>23297.01999999996</v>
      </c>
      <c r="G647" s="50">
        <f t="shared" si="109"/>
        <v>53798.420000000217</v>
      </c>
      <c r="H647" s="50">
        <f t="shared" si="109"/>
        <v>33725.749999999825</v>
      </c>
      <c r="I647" s="50">
        <f t="shared" si="109"/>
        <v>0</v>
      </c>
      <c r="J647" s="50">
        <f t="shared" si="109"/>
        <v>0</v>
      </c>
      <c r="K647" s="50">
        <f t="shared" si="109"/>
        <v>7699.7299999999814</v>
      </c>
      <c r="L647" s="50">
        <f t="shared" si="109"/>
        <v>69387.760000000126</v>
      </c>
      <c r="M647" s="50">
        <f t="shared" si="109"/>
        <v>23513.939999999686</v>
      </c>
      <c r="N647" s="50">
        <f t="shared" si="109"/>
        <v>35129.870000000315</v>
      </c>
      <c r="O647" s="50">
        <f t="shared" si="109"/>
        <v>57526.17999999992</v>
      </c>
      <c r="P647" s="50">
        <f t="shared" si="109"/>
        <v>0</v>
      </c>
      <c r="Q647" s="50">
        <f t="shared" si="109"/>
        <v>0</v>
      </c>
      <c r="R647" s="50">
        <f t="shared" si="109"/>
        <v>86658.239999999758</v>
      </c>
      <c r="S647" s="50">
        <f t="shared" si="109"/>
        <v>-221154.34999999969</v>
      </c>
      <c r="T647" s="50">
        <f t="shared" si="109"/>
        <v>71551.169999999867</v>
      </c>
      <c r="U647" s="50">
        <f t="shared" si="109"/>
        <v>64561.390000000014</v>
      </c>
      <c r="V647" s="50">
        <f t="shared" si="109"/>
        <v>120460.95000000024</v>
      </c>
      <c r="W647" s="50">
        <f t="shared" si="109"/>
        <v>0</v>
      </c>
      <c r="X647" s="50">
        <f t="shared" si="109"/>
        <v>0</v>
      </c>
      <c r="Y647" s="50">
        <f t="shared" si="109"/>
        <v>36032.549999999814</v>
      </c>
      <c r="Z647" s="50">
        <f t="shared" si="109"/>
        <v>23838.720000000205</v>
      </c>
      <c r="AA647" s="50">
        <f t="shared" si="109"/>
        <v>60780.659999999742</v>
      </c>
      <c r="AB647" s="50">
        <f t="shared" si="109"/>
        <v>21642.50999999998</v>
      </c>
      <c r="AC647" s="50">
        <f t="shared" si="109"/>
        <v>-170914.54999999996</v>
      </c>
      <c r="AD647" s="50">
        <f t="shared" si="109"/>
        <v>0</v>
      </c>
      <c r="AE647" s="50">
        <f t="shared" si="109"/>
        <v>0</v>
      </c>
      <c r="AF647" s="50">
        <f t="shared" si="109"/>
        <v>-381567.7100000002</v>
      </c>
      <c r="AG647" s="50">
        <f t="shared" si="109"/>
        <v>-493312.42999999935</v>
      </c>
    </row>
    <row r="649" spans="1:34" ht="22.5" customHeight="1">
      <c r="E649" s="106" t="s">
        <v>199</v>
      </c>
      <c r="S649" s="12" t="s">
        <v>200</v>
      </c>
      <c r="AC649" s="108" t="s">
        <v>202</v>
      </c>
      <c r="AF649" s="108" t="s">
        <v>201</v>
      </c>
      <c r="AG649" s="12" t="s">
        <v>75</v>
      </c>
    </row>
    <row r="652" spans="1:34">
      <c r="E652" s="28">
        <v>1</v>
      </c>
      <c r="F652" s="28">
        <v>2</v>
      </c>
      <c r="G652" s="28">
        <v>3</v>
      </c>
      <c r="H652" s="28">
        <v>4</v>
      </c>
      <c r="I652" s="28">
        <v>5</v>
      </c>
      <c r="J652" s="28">
        <v>6</v>
      </c>
      <c r="K652" s="28">
        <v>7</v>
      </c>
      <c r="L652" s="28">
        <v>8</v>
      </c>
      <c r="M652" s="28">
        <v>9</v>
      </c>
      <c r="N652" s="28">
        <v>10</v>
      </c>
      <c r="O652" s="28">
        <v>11</v>
      </c>
      <c r="P652" s="28">
        <v>15</v>
      </c>
      <c r="Q652" s="28">
        <v>14</v>
      </c>
      <c r="R652" s="28">
        <v>14</v>
      </c>
      <c r="S652" s="28">
        <v>15</v>
      </c>
      <c r="T652" s="28">
        <v>16</v>
      </c>
      <c r="U652" s="28">
        <v>17</v>
      </c>
      <c r="V652" s="28">
        <v>18</v>
      </c>
      <c r="Y652" s="28">
        <v>21</v>
      </c>
      <c r="Z652" s="28">
        <v>22</v>
      </c>
      <c r="AA652" s="28">
        <v>23</v>
      </c>
      <c r="AB652" s="28">
        <v>24</v>
      </c>
      <c r="AC652" s="28">
        <v>25</v>
      </c>
      <c r="AF652" s="28">
        <v>28</v>
      </c>
      <c r="AG652" s="28">
        <v>29</v>
      </c>
      <c r="AH652" s="28">
        <v>30</v>
      </c>
    </row>
    <row r="653" spans="1:34">
      <c r="A653" s="18" t="s">
        <v>37</v>
      </c>
      <c r="B653" s="18">
        <v>2014</v>
      </c>
      <c r="E653" s="49" t="s">
        <v>4</v>
      </c>
      <c r="F653" s="49" t="s">
        <v>5</v>
      </c>
      <c r="G653" s="49" t="s">
        <v>22</v>
      </c>
      <c r="H653" s="49" t="s">
        <v>6</v>
      </c>
      <c r="I653" s="49" t="s">
        <v>5</v>
      </c>
      <c r="J653" s="49" t="s">
        <v>22</v>
      </c>
      <c r="K653" s="49" t="s">
        <v>3</v>
      </c>
      <c r="L653" s="49" t="s">
        <v>4</v>
      </c>
      <c r="M653" s="49" t="s">
        <v>5</v>
      </c>
      <c r="N653" s="49" t="s">
        <v>22</v>
      </c>
      <c r="O653" s="49" t="s">
        <v>6</v>
      </c>
      <c r="P653" s="49" t="s">
        <v>22</v>
      </c>
      <c r="Q653" s="49" t="s">
        <v>6</v>
      </c>
      <c r="R653" s="49" t="s">
        <v>3</v>
      </c>
      <c r="S653" s="49" t="s">
        <v>4</v>
      </c>
      <c r="T653" s="49" t="s">
        <v>5</v>
      </c>
      <c r="U653" s="49" t="s">
        <v>22</v>
      </c>
      <c r="V653" s="49" t="s">
        <v>6</v>
      </c>
      <c r="Y653" s="49" t="s">
        <v>3</v>
      </c>
      <c r="Z653" s="49" t="s">
        <v>4</v>
      </c>
      <c r="AA653" s="49" t="s">
        <v>5</v>
      </c>
      <c r="AB653" s="49" t="s">
        <v>22</v>
      </c>
      <c r="AC653" s="49" t="s">
        <v>6</v>
      </c>
      <c r="AF653" s="49" t="s">
        <v>3</v>
      </c>
      <c r="AG653" s="49" t="s">
        <v>4</v>
      </c>
      <c r="AH653" s="49" t="s">
        <v>5</v>
      </c>
    </row>
    <row r="654" spans="1:34">
      <c r="A654" s="12" t="s">
        <v>47</v>
      </c>
      <c r="E654" s="86">
        <v>2687314.18</v>
      </c>
      <c r="F654" s="86">
        <v>2718338.59</v>
      </c>
      <c r="G654" s="86">
        <v>2794410.27</v>
      </c>
      <c r="H654" s="12">
        <v>2875088.63</v>
      </c>
      <c r="K654" s="86">
        <v>2955615.16</v>
      </c>
      <c r="L654" s="86">
        <v>2998417.99</v>
      </c>
      <c r="M654" s="86">
        <v>2575741.19</v>
      </c>
      <c r="N654" s="86">
        <v>2656802.63</v>
      </c>
      <c r="O654" s="86">
        <v>2763848.64</v>
      </c>
      <c r="P654" s="89"/>
      <c r="Q654" s="89"/>
      <c r="R654" s="86">
        <v>2827285.4</v>
      </c>
      <c r="S654" s="86">
        <v>2589612.59</v>
      </c>
      <c r="T654" s="86">
        <v>2631493.35</v>
      </c>
      <c r="U654" s="86">
        <v>2719356.84</v>
      </c>
      <c r="V654" s="86">
        <v>2825950.95</v>
      </c>
      <c r="W654" s="89"/>
      <c r="X654" s="89"/>
      <c r="Y654" s="86">
        <v>2918997.33</v>
      </c>
      <c r="Z654" s="86">
        <v>2993810.06</v>
      </c>
      <c r="AA654" s="86">
        <v>3029181.93</v>
      </c>
      <c r="AB654" s="86">
        <v>2704138.21</v>
      </c>
      <c r="AC654" s="86">
        <v>2841280.5</v>
      </c>
      <c r="AF654" s="86">
        <v>2880873.82</v>
      </c>
      <c r="AG654" s="86">
        <v>2925786.07</v>
      </c>
      <c r="AH654" s="86">
        <v>2984103.75</v>
      </c>
    </row>
    <row r="655" spans="1:34">
      <c r="A655" s="12" t="s">
        <v>18</v>
      </c>
      <c r="E655" s="12">
        <v>62631.959999999905</v>
      </c>
      <c r="F655" s="12">
        <v>55114.569999999745</v>
      </c>
      <c r="G655" s="12">
        <v>49485.989999999874</v>
      </c>
      <c r="H655" s="12">
        <v>10827.649999999965</v>
      </c>
      <c r="K655" s="12">
        <v>-25487.55</v>
      </c>
      <c r="L655" s="12">
        <v>86979.280000000144</v>
      </c>
      <c r="M655" s="12">
        <v>64683.260000000228</v>
      </c>
      <c r="N655" s="12">
        <v>53170.019999999975</v>
      </c>
      <c r="O655" s="12">
        <v>493087.31000000017</v>
      </c>
      <c r="R655" s="12">
        <v>-124262.06999999973</v>
      </c>
      <c r="S655" s="12">
        <v>-138294.36999999973</v>
      </c>
      <c r="T655" s="12">
        <v>-129257.58999999992</v>
      </c>
      <c r="U655" s="12">
        <v>-137216.28999999989</v>
      </c>
      <c r="V655" s="12">
        <v>147058.80999999971</v>
      </c>
      <c r="Y655" s="12">
        <v>169824.68999999962</v>
      </c>
      <c r="Z655" s="89">
        <v>156601.43999999997</v>
      </c>
      <c r="AA655" s="12">
        <v>218108.29999999993</v>
      </c>
      <c r="AB655" s="12">
        <v>394008.66000000003</v>
      </c>
      <c r="AC655" s="12">
        <v>689488.54000000027</v>
      </c>
      <c r="AF655" s="12">
        <v>556406.59</v>
      </c>
      <c r="AG655" s="12">
        <v>510440.39999999973</v>
      </c>
      <c r="AH655" s="12">
        <v>499352.43999999971</v>
      </c>
    </row>
    <row r="656" spans="1:34">
      <c r="A656" t="s">
        <v>21</v>
      </c>
      <c r="E656" s="16">
        <v>0</v>
      </c>
      <c r="F656" s="16">
        <v>0</v>
      </c>
      <c r="G656" s="16">
        <v>0</v>
      </c>
      <c r="H656" s="16">
        <v>0</v>
      </c>
      <c r="I656" s="16"/>
      <c r="J656" s="16"/>
      <c r="K656" s="16">
        <v>0</v>
      </c>
      <c r="L656" s="16">
        <v>0</v>
      </c>
      <c r="M656" s="16">
        <v>500000</v>
      </c>
      <c r="N656" s="16">
        <v>500000</v>
      </c>
      <c r="O656" s="16">
        <v>0</v>
      </c>
      <c r="P656" s="16"/>
      <c r="Q656" s="16"/>
      <c r="R656" s="16">
        <v>0</v>
      </c>
      <c r="S656" s="110">
        <v>300000</v>
      </c>
      <c r="T656" s="16">
        <v>300000</v>
      </c>
      <c r="U656" s="16">
        <v>300000</v>
      </c>
      <c r="V656" s="16">
        <v>0</v>
      </c>
      <c r="W656" s="16"/>
      <c r="X656" s="16"/>
      <c r="Y656" s="16">
        <v>0</v>
      </c>
      <c r="Z656" s="16">
        <v>0</v>
      </c>
      <c r="AA656" s="16">
        <v>0</v>
      </c>
      <c r="AB656" s="16">
        <v>400000</v>
      </c>
      <c r="AC656" s="16">
        <v>400000</v>
      </c>
      <c r="AD656" s="16"/>
      <c r="AE656" s="16"/>
      <c r="AF656" s="16">
        <v>0</v>
      </c>
      <c r="AG656" s="16">
        <v>0</v>
      </c>
      <c r="AH656" s="16">
        <v>0</v>
      </c>
    </row>
    <row r="657" spans="1:35">
      <c r="A657" t="s">
        <v>122</v>
      </c>
      <c r="E657" s="12">
        <f>SUM(E654:E656)</f>
        <v>2749946.14</v>
      </c>
      <c r="F657" s="12">
        <f t="shared" ref="F657:AH657" si="110">SUM(F654:F656)</f>
        <v>2773453.1599999997</v>
      </c>
      <c r="G657" s="12">
        <f t="shared" si="110"/>
        <v>2843896.26</v>
      </c>
      <c r="H657" s="12">
        <f>SUM(H655:H656)</f>
        <v>10827.649999999965</v>
      </c>
      <c r="I657" s="12">
        <f t="shared" si="110"/>
        <v>0</v>
      </c>
      <c r="J657" s="12">
        <f t="shared" si="110"/>
        <v>0</v>
      </c>
      <c r="K657" s="12">
        <f t="shared" si="110"/>
        <v>2930127.6100000003</v>
      </c>
      <c r="L657" s="12">
        <f t="shared" si="110"/>
        <v>3085397.2700000005</v>
      </c>
      <c r="M657" s="12">
        <f t="shared" si="110"/>
        <v>3140424.45</v>
      </c>
      <c r="N657" s="12">
        <f t="shared" si="110"/>
        <v>3209972.65</v>
      </c>
      <c r="O657" s="12">
        <f t="shared" si="110"/>
        <v>3256935.95</v>
      </c>
      <c r="P657" s="12">
        <f t="shared" si="110"/>
        <v>0</v>
      </c>
      <c r="Q657" s="12">
        <f t="shared" si="110"/>
        <v>0</v>
      </c>
      <c r="R657" s="12">
        <f t="shared" si="110"/>
        <v>2703023.33</v>
      </c>
      <c r="S657" s="12">
        <f t="shared" si="110"/>
        <v>2751318.22</v>
      </c>
      <c r="T657" s="12">
        <f t="shared" si="110"/>
        <v>2802235.7600000002</v>
      </c>
      <c r="U657" s="12">
        <f t="shared" si="110"/>
        <v>2882140.55</v>
      </c>
      <c r="V657" s="12">
        <f t="shared" si="110"/>
        <v>2973009.76</v>
      </c>
      <c r="W657" s="12">
        <f t="shared" si="110"/>
        <v>0</v>
      </c>
      <c r="X657" s="12">
        <f t="shared" si="110"/>
        <v>0</v>
      </c>
      <c r="Y657" s="12">
        <f t="shared" si="110"/>
        <v>3088822.0199999996</v>
      </c>
      <c r="Z657" s="12">
        <f t="shared" si="110"/>
        <v>3150411.5</v>
      </c>
      <c r="AA657" s="12">
        <f t="shared" si="110"/>
        <v>3247290.23</v>
      </c>
      <c r="AB657" s="12">
        <f t="shared" si="110"/>
        <v>3498146.87</v>
      </c>
      <c r="AC657" s="12">
        <f t="shared" si="110"/>
        <v>3930769.04</v>
      </c>
      <c r="AD657" s="12">
        <f t="shared" si="110"/>
        <v>0</v>
      </c>
      <c r="AE657" s="12">
        <f t="shared" si="110"/>
        <v>0</v>
      </c>
      <c r="AF657" s="12">
        <f t="shared" si="110"/>
        <v>3437280.4099999997</v>
      </c>
      <c r="AG657" s="12">
        <f t="shared" si="110"/>
        <v>3436226.4699999997</v>
      </c>
      <c r="AH657" s="12">
        <f t="shared" si="110"/>
        <v>3483456.1899999995</v>
      </c>
    </row>
    <row r="660" spans="1:35">
      <c r="A660" s="18" t="s">
        <v>48</v>
      </c>
      <c r="E660" s="12">
        <f>+E654-AG639</f>
        <v>105627.93999999994</v>
      </c>
      <c r="F660" s="12">
        <f t="shared" ref="F660:H661" si="111">+F654-E654</f>
        <v>31024.409999999683</v>
      </c>
      <c r="G660" s="12">
        <f t="shared" si="111"/>
        <v>76071.680000000168</v>
      </c>
      <c r="H660" s="12">
        <f t="shared" si="111"/>
        <v>80678.35999999987</v>
      </c>
      <c r="K660" s="12">
        <f>+K654-H654</f>
        <v>80526.530000000261</v>
      </c>
      <c r="L660" s="91">
        <f t="shared" ref="L660:N661" si="112">+L654-K654</f>
        <v>42802.830000000075</v>
      </c>
      <c r="M660" s="12">
        <f t="shared" si="112"/>
        <v>-422676.80000000028</v>
      </c>
      <c r="N660" s="12">
        <f t="shared" si="112"/>
        <v>81061.439999999944</v>
      </c>
      <c r="O660" s="91">
        <f>+O654-N654</f>
        <v>107046.01000000024</v>
      </c>
      <c r="R660" s="91">
        <f>+R654-O654</f>
        <v>63436.759999999776</v>
      </c>
      <c r="S660" s="12">
        <f>+S654-R654+300000</f>
        <v>62327.189999999944</v>
      </c>
      <c r="T660" s="12">
        <f>+T654-S654</f>
        <v>41880.760000000242</v>
      </c>
      <c r="U660" s="12">
        <f>+U654-T654</f>
        <v>87863.489999999758</v>
      </c>
      <c r="V660" s="12">
        <f>+V654-U654</f>
        <v>106594.11000000034</v>
      </c>
      <c r="Y660" s="12">
        <f>+Y654-V654</f>
        <v>93046.379999999888</v>
      </c>
      <c r="Z660" s="91">
        <f>+Z654-Y654</f>
        <v>74812.729999999981</v>
      </c>
      <c r="AA660" s="12">
        <f>+AA654-Z654</f>
        <v>35371.870000000112</v>
      </c>
      <c r="AB660" s="91">
        <f>+AB654-AA654+400000</f>
        <v>74956.279999999795</v>
      </c>
      <c r="AC660" s="91">
        <f>+AC654-AB654</f>
        <v>137142.29000000004</v>
      </c>
      <c r="AF660" s="91">
        <f>+AF654-AC654</f>
        <v>39593.319999999832</v>
      </c>
      <c r="AG660" s="12">
        <f>+AG654-AF654</f>
        <v>44912.25</v>
      </c>
      <c r="AH660" s="91">
        <f>+AH654-AG654</f>
        <v>58317.680000000168</v>
      </c>
    </row>
    <row r="661" spans="1:35">
      <c r="A661" s="18" t="s">
        <v>49</v>
      </c>
      <c r="E661" s="16">
        <f>+E655-AG640</f>
        <v>22122.559999999823</v>
      </c>
      <c r="F661" s="16">
        <f t="shared" si="111"/>
        <v>-7517.3900000001595</v>
      </c>
      <c r="G661" s="16">
        <f t="shared" si="111"/>
        <v>-5628.5799999998708</v>
      </c>
      <c r="H661" s="16">
        <f t="shared" si="111"/>
        <v>-38658.339999999909</v>
      </c>
      <c r="I661" s="16"/>
      <c r="J661" s="16"/>
      <c r="K661" s="16">
        <f>+K655-H655</f>
        <v>-36315.199999999968</v>
      </c>
      <c r="L661" s="16">
        <f t="shared" si="112"/>
        <v>112466.83000000015</v>
      </c>
      <c r="M661" s="16">
        <f t="shared" si="112"/>
        <v>-22296.019999999917</v>
      </c>
      <c r="N661" s="16">
        <f t="shared" si="112"/>
        <v>-11513.240000000253</v>
      </c>
      <c r="O661" s="16">
        <f>+O655-N655-500000</f>
        <v>-60082.709999999788</v>
      </c>
      <c r="P661" s="16"/>
      <c r="Q661" s="16"/>
      <c r="R661" s="16">
        <f>+R655-O655</f>
        <v>-617349.37999999989</v>
      </c>
      <c r="S661" s="16">
        <f>+S655-R655</f>
        <v>-14032.300000000003</v>
      </c>
      <c r="T661" s="16">
        <f>+T655-S655</f>
        <v>9036.7799999998097</v>
      </c>
      <c r="U661" s="16">
        <f>+U655-T655</f>
        <v>-7958.699999999968</v>
      </c>
      <c r="V661" s="16">
        <f>+V655-U655-300000</f>
        <v>-15724.900000000373</v>
      </c>
      <c r="W661" s="16"/>
      <c r="X661" s="16"/>
      <c r="Y661" s="16">
        <f>+Y655-V655</f>
        <v>22765.879999999917</v>
      </c>
      <c r="Z661" s="16">
        <f>+Z655-Y655</f>
        <v>-13223.249999999651</v>
      </c>
      <c r="AA661" s="16">
        <f>+AA655-Z655</f>
        <v>61506.859999999957</v>
      </c>
      <c r="AB661" s="16">
        <f>+AB655-AA655</f>
        <v>175900.3600000001</v>
      </c>
      <c r="AC661" s="16">
        <f>+AC655-AB655</f>
        <v>295479.88000000024</v>
      </c>
      <c r="AD661" s="16"/>
      <c r="AE661" s="16"/>
      <c r="AF661" s="16">
        <f>+AF655-AC655-400000</f>
        <v>-533081.9500000003</v>
      </c>
      <c r="AG661" s="16">
        <f>+AG655-AF655</f>
        <v>-45966.190000000235</v>
      </c>
      <c r="AH661" s="16">
        <f>+AH655-AG655</f>
        <v>-11087.960000000021</v>
      </c>
    </row>
    <row r="662" spans="1:35">
      <c r="A662" t="s">
        <v>160</v>
      </c>
      <c r="E662" s="12">
        <f>SUM(E660:E661)</f>
        <v>127750.49999999977</v>
      </c>
      <c r="F662" s="12">
        <f t="shared" ref="F662:AH662" si="113">SUM(F660:F661)</f>
        <v>23507.019999999524</v>
      </c>
      <c r="G662" s="12">
        <f t="shared" si="113"/>
        <v>70443.100000000297</v>
      </c>
      <c r="H662" s="12">
        <f t="shared" si="113"/>
        <v>42020.01999999996</v>
      </c>
      <c r="I662" s="12">
        <f t="shared" si="113"/>
        <v>0</v>
      </c>
      <c r="J662" s="12">
        <f t="shared" si="113"/>
        <v>0</v>
      </c>
      <c r="K662" s="12">
        <f t="shared" si="113"/>
        <v>44211.330000000293</v>
      </c>
      <c r="L662" s="12">
        <f t="shared" si="113"/>
        <v>155269.66000000021</v>
      </c>
      <c r="M662" s="12">
        <f t="shared" si="113"/>
        <v>-444972.82000000018</v>
      </c>
      <c r="N662" s="12">
        <f t="shared" si="113"/>
        <v>69548.199999999691</v>
      </c>
      <c r="O662" s="12">
        <f t="shared" si="113"/>
        <v>46963.300000000454</v>
      </c>
      <c r="P662" s="12">
        <f t="shared" si="113"/>
        <v>0</v>
      </c>
      <c r="Q662" s="12">
        <f t="shared" si="113"/>
        <v>0</v>
      </c>
      <c r="R662" s="12">
        <f t="shared" si="113"/>
        <v>-553912.62000000011</v>
      </c>
      <c r="S662" s="12">
        <f t="shared" si="113"/>
        <v>48294.889999999941</v>
      </c>
      <c r="T662" s="12">
        <f t="shared" si="113"/>
        <v>50917.540000000052</v>
      </c>
      <c r="U662" s="12">
        <f>SUM(U660:U661)</f>
        <v>79904.78999999979</v>
      </c>
      <c r="V662" s="12">
        <f t="shared" si="113"/>
        <v>90869.209999999963</v>
      </c>
      <c r="W662" s="12">
        <f t="shared" si="113"/>
        <v>0</v>
      </c>
      <c r="X662" s="12">
        <f t="shared" si="113"/>
        <v>0</v>
      </c>
      <c r="Y662" s="12">
        <f t="shared" si="113"/>
        <v>115812.25999999981</v>
      </c>
      <c r="Z662" s="12">
        <f t="shared" si="113"/>
        <v>61589.480000000331</v>
      </c>
      <c r="AA662" s="12">
        <f t="shared" si="113"/>
        <v>96878.730000000069</v>
      </c>
      <c r="AB662" s="12">
        <f t="shared" si="113"/>
        <v>250856.6399999999</v>
      </c>
      <c r="AC662" s="12">
        <f t="shared" si="113"/>
        <v>432622.17000000027</v>
      </c>
      <c r="AD662" s="12">
        <f t="shared" si="113"/>
        <v>0</v>
      </c>
      <c r="AE662" s="12">
        <f t="shared" si="113"/>
        <v>0</v>
      </c>
      <c r="AF662" s="12">
        <f t="shared" si="113"/>
        <v>-493488.63000000047</v>
      </c>
      <c r="AG662" s="12">
        <f t="shared" si="113"/>
        <v>-1053.9400000002352</v>
      </c>
      <c r="AH662" s="12">
        <f t="shared" si="113"/>
        <v>47229.720000000147</v>
      </c>
    </row>
    <row r="664" spans="1:35">
      <c r="AB664" s="12" t="s">
        <v>110</v>
      </c>
    </row>
    <row r="665" spans="1:35">
      <c r="E665" s="28">
        <v>1</v>
      </c>
      <c r="F665" s="28">
        <v>2</v>
      </c>
      <c r="G665" s="28">
        <v>5</v>
      </c>
      <c r="H665" s="28">
        <v>6</v>
      </c>
      <c r="K665" s="28">
        <v>7</v>
      </c>
      <c r="L665" s="28">
        <v>8</v>
      </c>
      <c r="M665" s="28">
        <v>9</v>
      </c>
      <c r="N665" s="28">
        <v>12</v>
      </c>
      <c r="O665" s="28">
        <v>13</v>
      </c>
      <c r="P665" s="28">
        <v>14</v>
      </c>
      <c r="Q665" s="28">
        <v>15</v>
      </c>
      <c r="R665" s="28">
        <v>14</v>
      </c>
      <c r="S665" s="28">
        <v>15</v>
      </c>
      <c r="T665" s="28">
        <v>16</v>
      </c>
      <c r="U665" s="28">
        <v>19</v>
      </c>
      <c r="V665" s="28">
        <v>20</v>
      </c>
      <c r="W665" s="28">
        <v>14</v>
      </c>
      <c r="X665" s="28">
        <v>21</v>
      </c>
      <c r="Y665" s="28">
        <v>21</v>
      </c>
      <c r="Z665" s="28">
        <v>22</v>
      </c>
      <c r="AA665" s="28">
        <v>23</v>
      </c>
      <c r="AB665" s="28">
        <v>26</v>
      </c>
      <c r="AC665" s="28">
        <v>27</v>
      </c>
      <c r="AD665" s="28">
        <v>14</v>
      </c>
      <c r="AE665" s="28">
        <v>21</v>
      </c>
      <c r="AF665" s="28">
        <v>28</v>
      </c>
      <c r="AG665" s="28">
        <v>29</v>
      </c>
      <c r="AH665" s="28">
        <v>30</v>
      </c>
      <c r="AI665" s="28"/>
    </row>
    <row r="666" spans="1:35">
      <c r="A666" s="18" t="s">
        <v>38</v>
      </c>
      <c r="B666" s="18">
        <v>2014</v>
      </c>
      <c r="E666" s="49" t="s">
        <v>22</v>
      </c>
      <c r="F666" s="49" t="s">
        <v>6</v>
      </c>
      <c r="G666" s="49" t="s">
        <v>3</v>
      </c>
      <c r="H666" s="49" t="s">
        <v>4</v>
      </c>
      <c r="I666" s="49" t="s">
        <v>5</v>
      </c>
      <c r="J666" s="49" t="s">
        <v>22</v>
      </c>
      <c r="K666" s="49" t="s">
        <v>5</v>
      </c>
      <c r="L666" s="49" t="s">
        <v>22</v>
      </c>
      <c r="M666" s="49" t="s">
        <v>6</v>
      </c>
      <c r="N666" s="49" t="s">
        <v>3</v>
      </c>
      <c r="O666" s="49" t="s">
        <v>4</v>
      </c>
      <c r="P666" s="49" t="s">
        <v>5</v>
      </c>
      <c r="Q666" s="49" t="s">
        <v>22</v>
      </c>
      <c r="R666" s="49" t="s">
        <v>5</v>
      </c>
      <c r="S666" s="49" t="s">
        <v>22</v>
      </c>
      <c r="T666" s="49" t="s">
        <v>6</v>
      </c>
      <c r="U666" s="49" t="s">
        <v>3</v>
      </c>
      <c r="V666" s="49" t="s">
        <v>4</v>
      </c>
      <c r="W666" s="49" t="s">
        <v>5</v>
      </c>
      <c r="X666" s="49" t="s">
        <v>22</v>
      </c>
      <c r="Y666" s="49" t="s">
        <v>5</v>
      </c>
      <c r="Z666" s="49" t="s">
        <v>22</v>
      </c>
      <c r="AA666" s="49" t="s">
        <v>6</v>
      </c>
      <c r="AB666" s="49" t="s">
        <v>3</v>
      </c>
      <c r="AC666" s="49" t="s">
        <v>4</v>
      </c>
      <c r="AD666" s="49" t="s">
        <v>5</v>
      </c>
      <c r="AE666" s="49" t="s">
        <v>22</v>
      </c>
      <c r="AF666" s="49" t="s">
        <v>5</v>
      </c>
      <c r="AG666" s="49" t="s">
        <v>22</v>
      </c>
      <c r="AH666" s="49" t="s">
        <v>6</v>
      </c>
    </row>
    <row r="667" spans="1:35">
      <c r="A667" s="12" t="s">
        <v>47</v>
      </c>
      <c r="E667" s="86">
        <v>3065777.61</v>
      </c>
      <c r="F667" s="86">
        <v>3147753.86</v>
      </c>
      <c r="G667" s="86">
        <v>3214243.55</v>
      </c>
      <c r="H667" s="86">
        <v>3245187.11</v>
      </c>
      <c r="I667" s="89"/>
      <c r="J667" s="89"/>
      <c r="K667" s="86">
        <v>3245187.11</v>
      </c>
      <c r="L667" s="86">
        <v>3338415.82</v>
      </c>
      <c r="M667" s="86">
        <v>3442706.59</v>
      </c>
      <c r="N667" s="86">
        <v>3526884.78</v>
      </c>
      <c r="O667" s="86">
        <v>3111104.09</v>
      </c>
      <c r="P667" s="89"/>
      <c r="Q667" s="89"/>
      <c r="R667" s="86">
        <v>3162714.55</v>
      </c>
      <c r="S667" s="86">
        <v>3205373.2</v>
      </c>
      <c r="T667" s="86">
        <v>3305720.73</v>
      </c>
      <c r="U667" s="86">
        <v>3395448.08</v>
      </c>
      <c r="V667" s="86">
        <v>3440362.08</v>
      </c>
      <c r="Y667" s="86">
        <v>3093173.11</v>
      </c>
      <c r="Z667" s="86">
        <v>3140601.08</v>
      </c>
      <c r="AA667" s="12">
        <v>3234705.29</v>
      </c>
      <c r="AB667" s="12">
        <v>0</v>
      </c>
      <c r="AC667" s="12">
        <v>3319830.69</v>
      </c>
      <c r="AF667" s="12">
        <v>3357045.73</v>
      </c>
      <c r="AG667" s="12">
        <v>3467039.42</v>
      </c>
      <c r="AH667" s="12">
        <v>3514329.07</v>
      </c>
    </row>
    <row r="668" spans="1:35">
      <c r="A668" s="12" t="s">
        <v>18</v>
      </c>
      <c r="E668" s="12">
        <v>501531.51999999967</v>
      </c>
      <c r="F668" s="12">
        <v>494355.06999999966</v>
      </c>
      <c r="G668" s="12">
        <v>492796.82999999955</v>
      </c>
      <c r="H668" s="12">
        <v>510221.7099999995</v>
      </c>
      <c r="K668" s="12">
        <v>444549.54999999958</v>
      </c>
      <c r="L668" s="89">
        <v>419391.3199999996</v>
      </c>
      <c r="M668" s="89">
        <v>400360.41999999958</v>
      </c>
      <c r="N668" s="12">
        <v>-193977.64</v>
      </c>
      <c r="O668" s="12">
        <v>-409770.5399999998</v>
      </c>
      <c r="R668" s="12">
        <v>-409868.16999999981</v>
      </c>
      <c r="S668" s="12">
        <v>80180.029999999635</v>
      </c>
      <c r="T668" s="12">
        <v>73750.57999999958</v>
      </c>
      <c r="U668" s="12">
        <v>47331.799999999508</v>
      </c>
      <c r="V668" s="12">
        <v>285069.79999999981</v>
      </c>
      <c r="Y668" s="12">
        <v>289512.03999999986</v>
      </c>
      <c r="Z668" s="89">
        <v>273898.59999999992</v>
      </c>
      <c r="AA668" s="12">
        <v>627903.49</v>
      </c>
      <c r="AB668" s="12">
        <v>0</v>
      </c>
      <c r="AC668" s="12">
        <v>67580.100000000006</v>
      </c>
      <c r="AF668" s="12">
        <v>53256.04</v>
      </c>
      <c r="AG668" s="12">
        <v>29732.58</v>
      </c>
      <c r="AH668" s="12">
        <v>25627.9</v>
      </c>
    </row>
    <row r="669" spans="1:35">
      <c r="A669" t="s">
        <v>21</v>
      </c>
      <c r="E669" s="16">
        <v>0</v>
      </c>
      <c r="F669" s="16">
        <v>0</v>
      </c>
      <c r="G669" s="16">
        <v>0</v>
      </c>
      <c r="H669" s="16">
        <v>0</v>
      </c>
      <c r="I669" s="16"/>
      <c r="J669" s="16"/>
      <c r="K669" s="16">
        <v>0</v>
      </c>
      <c r="L669" s="16">
        <v>0</v>
      </c>
      <c r="M669" s="16">
        <v>0</v>
      </c>
      <c r="N669" s="16">
        <v>0</v>
      </c>
      <c r="O669" s="16">
        <v>500000</v>
      </c>
      <c r="P669" s="16"/>
      <c r="Q669" s="16"/>
      <c r="R669" s="16">
        <v>500000</v>
      </c>
      <c r="S669" s="16">
        <v>0</v>
      </c>
      <c r="T669" s="16">
        <v>0</v>
      </c>
      <c r="U669" s="16">
        <v>0</v>
      </c>
      <c r="V669" s="16">
        <v>0</v>
      </c>
      <c r="W669" s="16"/>
      <c r="X669" s="16"/>
      <c r="Y669" s="16">
        <v>400000</v>
      </c>
      <c r="Z669" s="16">
        <v>400000</v>
      </c>
      <c r="AA669" s="16">
        <v>0</v>
      </c>
      <c r="AB669" s="16">
        <v>0</v>
      </c>
      <c r="AC669" s="16">
        <v>0</v>
      </c>
      <c r="AD669" s="16"/>
      <c r="AE669" s="16"/>
      <c r="AF669" s="16">
        <v>0</v>
      </c>
      <c r="AG669" s="16">
        <v>0</v>
      </c>
      <c r="AH669" s="16">
        <v>0</v>
      </c>
    </row>
    <row r="670" spans="1:35">
      <c r="A670" t="s">
        <v>122</v>
      </c>
      <c r="E670" s="12">
        <f>SUM(E667:E669)</f>
        <v>3567309.1299999994</v>
      </c>
      <c r="F670" s="12">
        <f t="shared" ref="F670:AH670" si="114">SUM(F667:F669)</f>
        <v>3642108.9299999997</v>
      </c>
      <c r="G670" s="12">
        <f t="shared" si="114"/>
        <v>3707040.3799999994</v>
      </c>
      <c r="H670" s="12">
        <f t="shared" si="114"/>
        <v>3755408.8199999994</v>
      </c>
      <c r="I670" s="12">
        <f t="shared" si="114"/>
        <v>0</v>
      </c>
      <c r="J670" s="12">
        <f t="shared" si="114"/>
        <v>0</v>
      </c>
      <c r="K670" s="12">
        <f t="shared" si="114"/>
        <v>3689736.6599999992</v>
      </c>
      <c r="L670" s="12">
        <f t="shared" si="114"/>
        <v>3757807.1399999997</v>
      </c>
      <c r="M670" s="12">
        <f t="shared" si="114"/>
        <v>3843067.0099999993</v>
      </c>
      <c r="N670" s="12">
        <f t="shared" si="114"/>
        <v>3332907.1399999997</v>
      </c>
      <c r="O670" s="12">
        <f t="shared" si="114"/>
        <v>3201333.55</v>
      </c>
      <c r="P670" s="12">
        <f t="shared" si="114"/>
        <v>0</v>
      </c>
      <c r="Q670" s="12">
        <f t="shared" si="114"/>
        <v>0</v>
      </c>
      <c r="R670" s="12">
        <f t="shared" si="114"/>
        <v>3252846.38</v>
      </c>
      <c r="S670" s="12">
        <f t="shared" si="114"/>
        <v>3285553.23</v>
      </c>
      <c r="T670" s="12">
        <f t="shared" si="114"/>
        <v>3379471.3099999996</v>
      </c>
      <c r="U670" s="12">
        <f t="shared" si="114"/>
        <v>3442779.8799999994</v>
      </c>
      <c r="V670" s="12">
        <f t="shared" si="114"/>
        <v>3725431.88</v>
      </c>
      <c r="W670" s="12">
        <f t="shared" si="114"/>
        <v>0</v>
      </c>
      <c r="X670" s="12">
        <f t="shared" si="114"/>
        <v>0</v>
      </c>
      <c r="Y670" s="12">
        <f t="shared" si="114"/>
        <v>3782685.15</v>
      </c>
      <c r="Z670" s="12">
        <f t="shared" si="114"/>
        <v>3814499.68</v>
      </c>
      <c r="AA670" s="12">
        <f t="shared" si="114"/>
        <v>3862608.7800000003</v>
      </c>
      <c r="AB670" s="12">
        <f t="shared" si="114"/>
        <v>0</v>
      </c>
      <c r="AC670" s="12">
        <f t="shared" si="114"/>
        <v>3387410.79</v>
      </c>
      <c r="AD670" s="12">
        <f t="shared" si="114"/>
        <v>0</v>
      </c>
      <c r="AE670" s="12">
        <f t="shared" si="114"/>
        <v>0</v>
      </c>
      <c r="AF670" s="12">
        <f t="shared" si="114"/>
        <v>3410301.77</v>
      </c>
      <c r="AG670" s="12">
        <f t="shared" si="114"/>
        <v>3496772</v>
      </c>
      <c r="AH670" s="12">
        <f t="shared" si="114"/>
        <v>3539956.9699999997</v>
      </c>
    </row>
    <row r="673" spans="1:34">
      <c r="A673" s="18" t="s">
        <v>48</v>
      </c>
      <c r="E673" s="91">
        <f>+E667-AH654</f>
        <v>81673.85999999987</v>
      </c>
      <c r="F673" s="91">
        <f t="shared" ref="F673:H674" si="115">+F667-E667</f>
        <v>81976.25</v>
      </c>
      <c r="G673" s="91">
        <f t="shared" si="115"/>
        <v>66489.689999999944</v>
      </c>
      <c r="H673" s="12">
        <f t="shared" si="115"/>
        <v>30943.560000000056</v>
      </c>
      <c r="K673" s="91">
        <f>+K667-H667</f>
        <v>0</v>
      </c>
      <c r="L673" s="91">
        <f t="shared" ref="L673:N674" si="116">+L667-K667</f>
        <v>93228.709999999963</v>
      </c>
      <c r="M673" s="12">
        <f t="shared" si="116"/>
        <v>104290.77000000002</v>
      </c>
      <c r="N673" s="12">
        <f t="shared" si="116"/>
        <v>84178.189999999944</v>
      </c>
      <c r="O673" s="12">
        <f>+O667-N667+500000</f>
        <v>84219.310000000056</v>
      </c>
      <c r="R673" s="12">
        <f>+R667-O667</f>
        <v>51610.459999999963</v>
      </c>
      <c r="S673" s="12">
        <f>+S667-R667</f>
        <v>42658.650000000373</v>
      </c>
      <c r="T673" s="12">
        <f>+T667-S667</f>
        <v>100347.5299999998</v>
      </c>
      <c r="U673" s="12">
        <f>+U667-T667</f>
        <v>89727.350000000093</v>
      </c>
      <c r="V673" s="12">
        <f>+V667-U667</f>
        <v>44914</v>
      </c>
      <c r="Y673" s="12">
        <f>+Y667-V667+400000</f>
        <v>52811.029999999795</v>
      </c>
      <c r="Z673" s="91">
        <f>+Z667-Y667</f>
        <v>47427.970000000205</v>
      </c>
      <c r="AA673" s="12">
        <f>+AA667-Z667</f>
        <v>94104.209999999963</v>
      </c>
      <c r="AB673" s="12">
        <v>0</v>
      </c>
      <c r="AC673" s="12">
        <f>+AC667-AA667</f>
        <v>85125.399999999907</v>
      </c>
      <c r="AF673" s="12">
        <f>+AF667-AC667</f>
        <v>37215.040000000037</v>
      </c>
      <c r="AG673" s="12">
        <f>+AG667-AF667</f>
        <v>109993.68999999994</v>
      </c>
      <c r="AH673" s="12">
        <f>+AH667-AG667</f>
        <v>47289.649999999907</v>
      </c>
    </row>
    <row r="674" spans="1:34">
      <c r="A674" s="18" t="s">
        <v>49</v>
      </c>
      <c r="E674" s="16">
        <f>+E668-AH655</f>
        <v>2179.0799999999581</v>
      </c>
      <c r="F674" s="16">
        <f t="shared" si="115"/>
        <v>-7176.4500000000116</v>
      </c>
      <c r="G674" s="16">
        <f t="shared" si="115"/>
        <v>-1558.2400000001071</v>
      </c>
      <c r="H674" s="16">
        <f t="shared" si="115"/>
        <v>17424.879999999946</v>
      </c>
      <c r="I674" s="16"/>
      <c r="J674" s="16"/>
      <c r="K674" s="16">
        <f>+K668-H668</f>
        <v>-65672.159999999916</v>
      </c>
      <c r="L674" s="16">
        <f t="shared" si="116"/>
        <v>-25158.229999999981</v>
      </c>
      <c r="M674" s="102">
        <f t="shared" si="116"/>
        <v>-19030.900000000023</v>
      </c>
      <c r="N674" s="16">
        <f t="shared" si="116"/>
        <v>-594338.05999999959</v>
      </c>
      <c r="O674" s="16">
        <f>+O668-N668</f>
        <v>-215792.89999999979</v>
      </c>
      <c r="P674" s="16"/>
      <c r="Q674" s="16"/>
      <c r="R674" s="16">
        <f>+R668-O668</f>
        <v>-97.630000000004657</v>
      </c>
      <c r="S674" s="16">
        <f>+S668-R668-500000</f>
        <v>-9951.8000000005704</v>
      </c>
      <c r="T674" s="16">
        <f>+T668-S668</f>
        <v>-6429.4500000000553</v>
      </c>
      <c r="U674" s="16">
        <f>+U668-T668</f>
        <v>-26418.780000000072</v>
      </c>
      <c r="V674" s="16">
        <f>+V668-U668</f>
        <v>237738.00000000029</v>
      </c>
      <c r="W674" s="16"/>
      <c r="X674" s="16"/>
      <c r="Y674" s="16">
        <f>+Y668-V668</f>
        <v>4442.2400000000489</v>
      </c>
      <c r="Z674" s="16">
        <f>+Z668-Y668</f>
        <v>-15613.439999999944</v>
      </c>
      <c r="AA674" s="16">
        <f>+AA668-Z668-400000</f>
        <v>-45995.109999999928</v>
      </c>
      <c r="AB674" s="16">
        <v>0</v>
      </c>
      <c r="AC674" s="16">
        <f>+AC668-AA668</f>
        <v>-560323.39</v>
      </c>
      <c r="AD674" s="16"/>
      <c r="AE674" s="16"/>
      <c r="AF674" s="16">
        <f>+AF668-AC668</f>
        <v>-14324.060000000005</v>
      </c>
      <c r="AG674" s="16">
        <f>+AG668-AF668</f>
        <v>-23523.46</v>
      </c>
      <c r="AH674" s="16">
        <f>+AH668-AG668</f>
        <v>-4104.68</v>
      </c>
    </row>
    <row r="675" spans="1:34">
      <c r="A675" t="s">
        <v>160</v>
      </c>
      <c r="E675" s="12">
        <f>+E674+E673</f>
        <v>83852.939999999828</v>
      </c>
      <c r="F675" s="12">
        <f t="shared" ref="F675:AH675" si="117">+F674+F673</f>
        <v>74799.799999999988</v>
      </c>
      <c r="G675" s="12">
        <f t="shared" si="117"/>
        <v>64931.449999999837</v>
      </c>
      <c r="H675" s="12">
        <f t="shared" si="117"/>
        <v>48368.44</v>
      </c>
      <c r="I675" s="12">
        <f t="shared" si="117"/>
        <v>0</v>
      </c>
      <c r="J675" s="12">
        <f t="shared" si="117"/>
        <v>0</v>
      </c>
      <c r="K675" s="12">
        <f t="shared" si="117"/>
        <v>-65672.159999999916</v>
      </c>
      <c r="L675" s="12">
        <f t="shared" si="117"/>
        <v>68070.479999999981</v>
      </c>
      <c r="M675" s="12">
        <f t="shared" si="117"/>
        <v>85259.87</v>
      </c>
      <c r="N675" s="12">
        <f t="shared" si="117"/>
        <v>-510159.86999999965</v>
      </c>
      <c r="O675" s="12">
        <f t="shared" si="117"/>
        <v>-131573.58999999973</v>
      </c>
      <c r="P675" s="12">
        <f t="shared" si="117"/>
        <v>0</v>
      </c>
      <c r="Q675" s="12">
        <f t="shared" si="117"/>
        <v>0</v>
      </c>
      <c r="R675" s="12">
        <f t="shared" si="117"/>
        <v>51512.829999999958</v>
      </c>
      <c r="S675" s="12">
        <f t="shared" si="117"/>
        <v>32706.849999999802</v>
      </c>
      <c r="T675" s="12">
        <f t="shared" si="117"/>
        <v>93918.07999999974</v>
      </c>
      <c r="U675" s="12">
        <f t="shared" si="117"/>
        <v>63308.570000000022</v>
      </c>
      <c r="V675" s="12">
        <f t="shared" si="117"/>
        <v>282652.00000000029</v>
      </c>
      <c r="W675" s="12">
        <f t="shared" si="117"/>
        <v>0</v>
      </c>
      <c r="X675" s="12">
        <f t="shared" si="117"/>
        <v>0</v>
      </c>
      <c r="Y675" s="12">
        <f t="shared" si="117"/>
        <v>57253.269999999844</v>
      </c>
      <c r="Z675" s="12">
        <f t="shared" si="117"/>
        <v>31814.530000000261</v>
      </c>
      <c r="AA675" s="12">
        <f t="shared" si="117"/>
        <v>48109.100000000035</v>
      </c>
      <c r="AB675" s="12">
        <f t="shared" si="117"/>
        <v>0</v>
      </c>
      <c r="AC675" s="12">
        <f t="shared" si="117"/>
        <v>-475197.99000000011</v>
      </c>
      <c r="AD675" s="12">
        <f t="shared" si="117"/>
        <v>0</v>
      </c>
      <c r="AE675" s="12">
        <f t="shared" si="117"/>
        <v>0</v>
      </c>
      <c r="AF675" s="12">
        <f t="shared" si="117"/>
        <v>22890.980000000032</v>
      </c>
      <c r="AG675" s="12">
        <f t="shared" si="117"/>
        <v>86470.229999999952</v>
      </c>
      <c r="AH675" s="12">
        <f t="shared" si="117"/>
        <v>43184.969999999907</v>
      </c>
    </row>
    <row r="679" spans="1:34">
      <c r="E679" s="28">
        <v>2</v>
      </c>
      <c r="F679" s="28">
        <v>3</v>
      </c>
      <c r="G679" s="28">
        <v>4</v>
      </c>
      <c r="H679" s="28">
        <v>5</v>
      </c>
      <c r="I679" s="28">
        <v>3</v>
      </c>
      <c r="J679" s="28">
        <v>4</v>
      </c>
      <c r="K679" s="28">
        <v>6</v>
      </c>
      <c r="L679" s="28">
        <v>9</v>
      </c>
      <c r="M679" s="28">
        <v>10</v>
      </c>
      <c r="N679" s="28">
        <v>11</v>
      </c>
      <c r="O679" s="28">
        <v>12</v>
      </c>
      <c r="P679" s="28">
        <v>13</v>
      </c>
      <c r="Q679" s="28">
        <v>14</v>
      </c>
      <c r="R679" s="28">
        <v>13</v>
      </c>
      <c r="S679" s="28">
        <v>16</v>
      </c>
      <c r="T679" s="28">
        <v>17</v>
      </c>
      <c r="U679" s="28">
        <v>18</v>
      </c>
      <c r="V679" s="28">
        <v>19</v>
      </c>
      <c r="W679" s="28">
        <v>20</v>
      </c>
      <c r="Y679" s="28">
        <v>20</v>
      </c>
      <c r="Z679" s="28">
        <v>23</v>
      </c>
      <c r="AA679" s="28">
        <v>24</v>
      </c>
      <c r="AB679" s="28">
        <v>25</v>
      </c>
      <c r="AC679" s="28">
        <v>26</v>
      </c>
      <c r="AD679" s="28">
        <v>27</v>
      </c>
      <c r="AF679" s="28">
        <v>27</v>
      </c>
      <c r="AG679" s="28">
        <v>30</v>
      </c>
    </row>
    <row r="680" spans="1:34">
      <c r="A680" s="18" t="s">
        <v>39</v>
      </c>
      <c r="B680" s="18">
        <v>2014</v>
      </c>
      <c r="E680" s="49" t="s">
        <v>3</v>
      </c>
      <c r="F680" s="49" t="s">
        <v>4</v>
      </c>
      <c r="G680" s="49" t="s">
        <v>5</v>
      </c>
      <c r="H680" s="49" t="s">
        <v>22</v>
      </c>
      <c r="I680" s="49" t="s">
        <v>5</v>
      </c>
      <c r="J680" s="49" t="s">
        <v>22</v>
      </c>
      <c r="K680" s="49" t="s">
        <v>6</v>
      </c>
      <c r="L680" s="49" t="s">
        <v>3</v>
      </c>
      <c r="M680" s="49" t="s">
        <v>4</v>
      </c>
      <c r="N680" s="49" t="s">
        <v>5</v>
      </c>
      <c r="O680" s="49" t="s">
        <v>22</v>
      </c>
      <c r="P680" s="49" t="s">
        <v>5</v>
      </c>
      <c r="Q680" s="49" t="s">
        <v>22</v>
      </c>
      <c r="R680" s="49" t="s">
        <v>6</v>
      </c>
      <c r="S680" s="49" t="s">
        <v>3</v>
      </c>
      <c r="T680" s="49" t="s">
        <v>4</v>
      </c>
      <c r="U680" s="49" t="s">
        <v>5</v>
      </c>
      <c r="V680" s="49" t="s">
        <v>22</v>
      </c>
      <c r="W680" s="49" t="s">
        <v>5</v>
      </c>
      <c r="X680" s="49" t="s">
        <v>22</v>
      </c>
      <c r="Y680" s="49" t="s">
        <v>6</v>
      </c>
      <c r="Z680" s="49" t="s">
        <v>3</v>
      </c>
      <c r="AA680" s="49" t="s">
        <v>4</v>
      </c>
      <c r="AB680" s="49" t="s">
        <v>5</v>
      </c>
      <c r="AC680" s="49" t="s">
        <v>22</v>
      </c>
      <c r="AD680" s="49" t="s">
        <v>5</v>
      </c>
      <c r="AE680" s="49" t="s">
        <v>22</v>
      </c>
      <c r="AF680" s="49" t="s">
        <v>6</v>
      </c>
      <c r="AG680" s="49" t="s">
        <v>3</v>
      </c>
    </row>
    <row r="681" spans="1:34">
      <c r="A681" s="12" t="s">
        <v>47</v>
      </c>
      <c r="E681" s="111">
        <v>3584659.01</v>
      </c>
      <c r="F681" s="12">
        <v>3130119.48</v>
      </c>
      <c r="G681" s="112">
        <v>3177605.32</v>
      </c>
      <c r="H681" s="112">
        <v>3227915.14</v>
      </c>
      <c r="I681" s="95"/>
      <c r="J681" s="95"/>
      <c r="K681" s="112">
        <v>3310987.92</v>
      </c>
      <c r="L681" s="112">
        <v>3371537.31</v>
      </c>
      <c r="M681" s="112">
        <v>3428108.18</v>
      </c>
      <c r="N681" s="86">
        <v>3511566.81</v>
      </c>
      <c r="O681" s="86">
        <v>3556036.75</v>
      </c>
      <c r="P681" s="89"/>
      <c r="Q681" s="89"/>
      <c r="R681" s="86">
        <v>3656370.1</v>
      </c>
      <c r="S681" s="86">
        <v>3746919.36</v>
      </c>
      <c r="T681" s="86">
        <v>3791659.73</v>
      </c>
      <c r="U681" s="86">
        <v>3342634.92</v>
      </c>
      <c r="V681" s="86">
        <v>3432519.78</v>
      </c>
      <c r="W681" s="89"/>
      <c r="X681" s="89"/>
      <c r="Y681" s="86">
        <v>3516627.9</v>
      </c>
      <c r="Z681" s="86">
        <v>3562336.12</v>
      </c>
      <c r="AA681" s="86">
        <v>3356030.25</v>
      </c>
      <c r="AB681" s="86">
        <v>3419120.35</v>
      </c>
      <c r="AC681" s="86">
        <v>3489690.12</v>
      </c>
      <c r="AD681" s="89"/>
      <c r="AE681" s="89"/>
      <c r="AF681" s="86">
        <v>3544001.61</v>
      </c>
      <c r="AG681" s="86">
        <v>3612311.88</v>
      </c>
    </row>
    <row r="682" spans="1:34">
      <c r="A682" s="12" t="s">
        <v>18</v>
      </c>
      <c r="E682" s="12">
        <v>20516.290000000241</v>
      </c>
      <c r="F682" s="12">
        <v>93504.39</v>
      </c>
      <c r="G682" s="12">
        <v>32550.419999999773</v>
      </c>
      <c r="H682" s="95">
        <v>-10198.56000000026</v>
      </c>
      <c r="I682" s="95"/>
      <c r="J682" s="95"/>
      <c r="K682" s="95">
        <v>441537.27999999991</v>
      </c>
      <c r="L682" s="95">
        <v>-132802.68999999983</v>
      </c>
      <c r="M682" s="95">
        <v>-171919.30000000008</v>
      </c>
      <c r="N682" s="12">
        <v>-211049.35000000018</v>
      </c>
      <c r="O682" s="12">
        <v>-211697.35000000018</v>
      </c>
      <c r="R682" s="12">
        <v>-297673.3000000001</v>
      </c>
      <c r="S682" s="12">
        <v>-301697.74000000017</v>
      </c>
      <c r="T682" s="12">
        <v>-378128.89000000007</v>
      </c>
      <c r="U682" s="12">
        <v>-394299.58</v>
      </c>
      <c r="V682" s="12">
        <v>250465.28000000003</v>
      </c>
      <c r="Y682" s="12">
        <v>179279.09000000003</v>
      </c>
      <c r="Z682" s="12">
        <v>-103040.64999999995</v>
      </c>
      <c r="AA682" s="12">
        <v>-134109.84999999998</v>
      </c>
      <c r="AB682" s="12">
        <v>389972.05999999965</v>
      </c>
      <c r="AC682" s="12">
        <v>351185.87999999966</v>
      </c>
      <c r="AF682" s="12">
        <v>351185.87999999966</v>
      </c>
      <c r="AG682" s="89">
        <v>353379.05999999965</v>
      </c>
    </row>
    <row r="683" spans="1:34">
      <c r="A683" t="s">
        <v>21</v>
      </c>
      <c r="E683" s="16">
        <v>0</v>
      </c>
      <c r="F683" s="16">
        <v>500000</v>
      </c>
      <c r="G683" s="16">
        <v>500000</v>
      </c>
      <c r="H683" s="16">
        <v>500000</v>
      </c>
      <c r="I683" s="16"/>
      <c r="J683" s="16"/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/>
      <c r="Q683" s="16"/>
      <c r="R683" s="16">
        <v>0</v>
      </c>
      <c r="S683" s="16">
        <v>0</v>
      </c>
      <c r="T683" s="16">
        <v>0</v>
      </c>
      <c r="U683" s="16">
        <v>500000</v>
      </c>
      <c r="V683" s="16">
        <v>0</v>
      </c>
      <c r="W683" s="16"/>
      <c r="X683" s="16"/>
      <c r="Y683" s="16">
        <v>0</v>
      </c>
      <c r="Z683" s="16">
        <v>300000</v>
      </c>
      <c r="AA683" s="16">
        <v>300000</v>
      </c>
      <c r="AB683" s="16">
        <v>0</v>
      </c>
      <c r="AC683" s="16">
        <v>0</v>
      </c>
      <c r="AD683" s="16"/>
      <c r="AE683" s="16"/>
      <c r="AF683" s="16">
        <v>0</v>
      </c>
      <c r="AG683" s="16">
        <v>0</v>
      </c>
    </row>
    <row r="684" spans="1:34">
      <c r="A684" t="s">
        <v>122</v>
      </c>
      <c r="E684" s="12">
        <f>SUM(E681:E683)</f>
        <v>3605175.3</v>
      </c>
      <c r="F684" s="12">
        <f t="shared" ref="F684:AG684" si="118">SUM(F681:F683)</f>
        <v>3723623.87</v>
      </c>
      <c r="G684" s="12">
        <f t="shared" si="118"/>
        <v>3710155.7399999998</v>
      </c>
      <c r="H684" s="12">
        <f t="shared" si="118"/>
        <v>3717716.58</v>
      </c>
      <c r="I684" s="12">
        <f t="shared" si="118"/>
        <v>0</v>
      </c>
      <c r="J684" s="12">
        <f t="shared" si="118"/>
        <v>0</v>
      </c>
      <c r="K684" s="12">
        <f t="shared" si="118"/>
        <v>3752525.1999999997</v>
      </c>
      <c r="L684" s="12">
        <f t="shared" si="118"/>
        <v>3238734.62</v>
      </c>
      <c r="M684" s="12">
        <f t="shared" si="118"/>
        <v>3256188.88</v>
      </c>
      <c r="N684" s="12">
        <f t="shared" si="118"/>
        <v>3300517.46</v>
      </c>
      <c r="O684" s="12">
        <f t="shared" si="118"/>
        <v>3344339.4</v>
      </c>
      <c r="P684" s="12">
        <f t="shared" si="118"/>
        <v>0</v>
      </c>
      <c r="Q684" s="12">
        <f t="shared" si="118"/>
        <v>0</v>
      </c>
      <c r="R684" s="12">
        <f t="shared" si="118"/>
        <v>3358696.8</v>
      </c>
      <c r="S684" s="12">
        <f t="shared" si="118"/>
        <v>3445221.6199999996</v>
      </c>
      <c r="T684" s="12">
        <f t="shared" si="118"/>
        <v>3413530.84</v>
      </c>
      <c r="U684" s="12">
        <f t="shared" si="118"/>
        <v>3448335.34</v>
      </c>
      <c r="V684" s="12">
        <f t="shared" si="118"/>
        <v>3682985.0599999996</v>
      </c>
      <c r="W684" s="12">
        <f t="shared" si="118"/>
        <v>0</v>
      </c>
      <c r="X684" s="12">
        <f t="shared" si="118"/>
        <v>0</v>
      </c>
      <c r="Y684" s="12">
        <f t="shared" si="118"/>
        <v>3695906.9899999998</v>
      </c>
      <c r="Z684" s="12">
        <f t="shared" si="118"/>
        <v>3759295.47</v>
      </c>
      <c r="AA684" s="12">
        <f t="shared" si="118"/>
        <v>3521920.4</v>
      </c>
      <c r="AB684" s="12">
        <f t="shared" si="118"/>
        <v>3809092.4099999997</v>
      </c>
      <c r="AC684" s="12">
        <f t="shared" si="118"/>
        <v>3840876</v>
      </c>
      <c r="AD684" s="12">
        <f t="shared" si="118"/>
        <v>0</v>
      </c>
      <c r="AE684" s="12">
        <f t="shared" si="118"/>
        <v>0</v>
      </c>
      <c r="AF684" s="12">
        <f t="shared" si="118"/>
        <v>3895187.4899999993</v>
      </c>
      <c r="AG684" s="12">
        <f t="shared" si="118"/>
        <v>3965690.9399999995</v>
      </c>
    </row>
    <row r="687" spans="1:34">
      <c r="A687" s="18" t="s">
        <v>48</v>
      </c>
      <c r="E687" s="12">
        <f>+E681-AH667</f>
        <v>70329.939999999944</v>
      </c>
      <c r="F687" s="12">
        <f>+F681-E681+500000</f>
        <v>45460.470000000205</v>
      </c>
      <c r="G687" s="12">
        <f>+G681-F681</f>
        <v>47485.839999999851</v>
      </c>
      <c r="H687" s="12">
        <f>+H681-G681</f>
        <v>50309.820000000298</v>
      </c>
      <c r="K687" s="12">
        <f>+K681-H681</f>
        <v>83072.779999999795</v>
      </c>
      <c r="L687" s="12">
        <f t="shared" ref="L687:O688" si="119">+L681-K681</f>
        <v>60549.39000000013</v>
      </c>
      <c r="M687" s="12">
        <f t="shared" si="119"/>
        <v>56570.870000000112</v>
      </c>
      <c r="N687" s="12">
        <f t="shared" si="119"/>
        <v>83458.629999999888</v>
      </c>
      <c r="O687" s="91">
        <f t="shared" si="119"/>
        <v>44469.939999999944</v>
      </c>
      <c r="R687" s="91">
        <f>+R681-O681</f>
        <v>100333.35000000009</v>
      </c>
      <c r="S687" s="12">
        <f>+S681-R681</f>
        <v>90549.259999999776</v>
      </c>
      <c r="T687" s="12">
        <f>+T681-S681</f>
        <v>44740.370000000112</v>
      </c>
      <c r="U687" s="12">
        <f>+U681-T681+500000</f>
        <v>50975.189999999944</v>
      </c>
      <c r="V687" s="12">
        <f>+V681-U681</f>
        <v>89884.85999999987</v>
      </c>
      <c r="Y687" s="12">
        <f>+Y681-V681</f>
        <v>84108.120000000112</v>
      </c>
      <c r="Z687" s="12">
        <f>+Z681-Y681</f>
        <v>45708.220000000205</v>
      </c>
      <c r="AA687" s="12">
        <f>+AA681-Z681</f>
        <v>-206305.87000000011</v>
      </c>
      <c r="AB687" s="12">
        <f>+AB681-AA681</f>
        <v>63090.100000000093</v>
      </c>
      <c r="AC687" s="12">
        <f>+AC681-AB681</f>
        <v>70569.770000000019</v>
      </c>
      <c r="AF687" s="91">
        <f>+AF681-AC681</f>
        <v>54311.489999999758</v>
      </c>
      <c r="AG687" s="91">
        <f>+AG681-AF681</f>
        <v>68310.270000000019</v>
      </c>
    </row>
    <row r="688" spans="1:34">
      <c r="A688" s="18" t="s">
        <v>49</v>
      </c>
      <c r="E688" s="16">
        <f>+E682-AH668</f>
        <v>-5111.6099999997605</v>
      </c>
      <c r="F688" s="16">
        <f>+F682-E682</f>
        <v>72988.099999999758</v>
      </c>
      <c r="G688" s="16">
        <f>+G682-F682</f>
        <v>-60953.970000000227</v>
      </c>
      <c r="H688" s="16">
        <f>+H682-G682</f>
        <v>-42748.980000000032</v>
      </c>
      <c r="I688" s="16"/>
      <c r="J688" s="16"/>
      <c r="K688" s="16">
        <f>+K682-H682-500000</f>
        <v>-48264.1599999998</v>
      </c>
      <c r="L688" s="16">
        <f t="shared" si="119"/>
        <v>-574339.96999999974</v>
      </c>
      <c r="M688" s="16">
        <f t="shared" si="119"/>
        <v>-39116.610000000248</v>
      </c>
      <c r="N688" s="16">
        <f t="shared" si="119"/>
        <v>-39130.050000000105</v>
      </c>
      <c r="O688" s="16">
        <f t="shared" si="119"/>
        <v>-648</v>
      </c>
      <c r="P688" s="16"/>
      <c r="Q688" s="16"/>
      <c r="R688" s="16">
        <f>+R682-O682</f>
        <v>-85975.949999999924</v>
      </c>
      <c r="S688" s="16">
        <f>+S682-R682</f>
        <v>-4024.4400000000605</v>
      </c>
      <c r="T688" s="16">
        <f>+T682-S682</f>
        <v>-76431.149999999907</v>
      </c>
      <c r="U688" s="16">
        <f>+U682-T682</f>
        <v>-16170.689999999944</v>
      </c>
      <c r="V688" s="16">
        <f>+V682-U682-500000</f>
        <v>144764.8600000001</v>
      </c>
      <c r="W688" s="16"/>
      <c r="X688" s="16"/>
      <c r="Y688" s="16">
        <f>+Y682-V682</f>
        <v>-71186.19</v>
      </c>
      <c r="Z688" s="16">
        <f>+Z682-Y682</f>
        <v>-282319.74</v>
      </c>
      <c r="AA688" s="16">
        <f>+AA682-Z682</f>
        <v>-31069.200000000026</v>
      </c>
      <c r="AB688" s="16">
        <f>+AB682-AA682-300000</f>
        <v>224081.90999999963</v>
      </c>
      <c r="AC688" s="16">
        <f>+AC682-AB682</f>
        <v>-38786.179999999993</v>
      </c>
      <c r="AD688" s="16"/>
      <c r="AE688" s="16"/>
      <c r="AF688" s="16">
        <f>+AF682-AC682</f>
        <v>0</v>
      </c>
      <c r="AG688" s="16">
        <f>+AG682-AF682</f>
        <v>2193.179999999993</v>
      </c>
    </row>
    <row r="689" spans="1:36">
      <c r="A689" t="s">
        <v>160</v>
      </c>
      <c r="E689" s="12">
        <f>SUM(E687:E688)</f>
        <v>65218.330000000184</v>
      </c>
      <c r="F689" s="12">
        <f t="shared" ref="F689:AG689" si="120">SUM(F687:F688)</f>
        <v>118448.56999999996</v>
      </c>
      <c r="G689" s="12">
        <f t="shared" si="120"/>
        <v>-13468.130000000376</v>
      </c>
      <c r="H689" s="12">
        <f t="shared" si="120"/>
        <v>7560.8400000002657</v>
      </c>
      <c r="I689" s="12">
        <f t="shared" si="120"/>
        <v>0</v>
      </c>
      <c r="J689" s="12">
        <f t="shared" si="120"/>
        <v>0</v>
      </c>
      <c r="K689" s="12">
        <f t="shared" si="120"/>
        <v>34808.619999999995</v>
      </c>
      <c r="L689" s="12">
        <f t="shared" si="120"/>
        <v>-513790.57999999961</v>
      </c>
      <c r="M689" s="12">
        <f t="shared" si="120"/>
        <v>17454.259999999864</v>
      </c>
      <c r="N689" s="12">
        <f t="shared" si="120"/>
        <v>44328.579999999783</v>
      </c>
      <c r="O689" s="12">
        <f t="shared" si="120"/>
        <v>43821.939999999944</v>
      </c>
      <c r="P689" s="12">
        <f t="shared" si="120"/>
        <v>0</v>
      </c>
      <c r="Q689" s="12">
        <f t="shared" si="120"/>
        <v>0</v>
      </c>
      <c r="R689" s="12">
        <f t="shared" si="120"/>
        <v>14357.400000000169</v>
      </c>
      <c r="S689" s="12">
        <f t="shared" si="120"/>
        <v>86524.819999999716</v>
      </c>
      <c r="T689" s="12">
        <f t="shared" si="120"/>
        <v>-31690.779999999795</v>
      </c>
      <c r="U689" s="12">
        <f t="shared" si="120"/>
        <v>34804.5</v>
      </c>
      <c r="V689" s="12">
        <f t="shared" si="120"/>
        <v>234649.71999999997</v>
      </c>
      <c r="W689" s="12">
        <f t="shared" si="120"/>
        <v>0</v>
      </c>
      <c r="X689" s="12">
        <f t="shared" si="120"/>
        <v>0</v>
      </c>
      <c r="Y689" s="12">
        <f t="shared" si="120"/>
        <v>12921.930000000109</v>
      </c>
      <c r="Z689" s="12">
        <f t="shared" si="120"/>
        <v>-236611.51999999979</v>
      </c>
      <c r="AA689" s="12">
        <f t="shared" si="120"/>
        <v>-237375.07000000012</v>
      </c>
      <c r="AB689" s="12">
        <f t="shared" si="120"/>
        <v>287172.00999999972</v>
      </c>
      <c r="AC689" s="12">
        <f t="shared" si="120"/>
        <v>31783.590000000026</v>
      </c>
      <c r="AD689" s="12">
        <f t="shared" si="120"/>
        <v>0</v>
      </c>
      <c r="AE689" s="12">
        <f t="shared" si="120"/>
        <v>0</v>
      </c>
      <c r="AF689" s="12">
        <f t="shared" si="120"/>
        <v>54311.489999999758</v>
      </c>
      <c r="AG689" s="12">
        <f t="shared" si="120"/>
        <v>70503.450000000012</v>
      </c>
    </row>
    <row r="691" spans="1:36">
      <c r="AB691" s="12" t="s">
        <v>203</v>
      </c>
    </row>
    <row r="692" spans="1:36">
      <c r="L692" s="12" t="s">
        <v>75</v>
      </c>
    </row>
    <row r="695" spans="1:36">
      <c r="H695" s="12" t="s">
        <v>110</v>
      </c>
    </row>
    <row r="696" spans="1:36">
      <c r="E696" s="28">
        <v>1</v>
      </c>
      <c r="F696" s="28">
        <v>2</v>
      </c>
      <c r="G696" s="28">
        <v>3</v>
      </c>
      <c r="H696" s="28">
        <v>4</v>
      </c>
      <c r="I696" s="28">
        <v>3</v>
      </c>
      <c r="J696" s="28">
        <v>4</v>
      </c>
      <c r="K696" s="28">
        <v>7</v>
      </c>
      <c r="L696" s="28">
        <v>8</v>
      </c>
      <c r="M696" s="28">
        <v>9</v>
      </c>
      <c r="N696" s="28">
        <v>10</v>
      </c>
      <c r="O696" s="28">
        <v>11</v>
      </c>
      <c r="R696" s="28">
        <v>14</v>
      </c>
      <c r="S696" s="28">
        <v>15</v>
      </c>
      <c r="T696" s="28">
        <v>16</v>
      </c>
      <c r="U696" s="28">
        <v>17</v>
      </c>
      <c r="V696" s="28">
        <v>18</v>
      </c>
      <c r="Y696" s="28">
        <v>21</v>
      </c>
      <c r="Z696" s="28">
        <v>22</v>
      </c>
      <c r="AA696" s="28">
        <v>23</v>
      </c>
      <c r="AB696" s="28">
        <v>24</v>
      </c>
      <c r="AC696" s="28">
        <v>25</v>
      </c>
      <c r="AF696" s="28">
        <v>28</v>
      </c>
      <c r="AG696" s="28">
        <v>29</v>
      </c>
      <c r="AH696" s="28">
        <v>30</v>
      </c>
      <c r="AI696" s="28">
        <v>31</v>
      </c>
    </row>
    <row r="697" spans="1:36">
      <c r="A697" s="18" t="s">
        <v>40</v>
      </c>
      <c r="B697" s="18">
        <v>2014</v>
      </c>
      <c r="E697" s="49" t="s">
        <v>4</v>
      </c>
      <c r="F697" s="49" t="s">
        <v>5</v>
      </c>
      <c r="G697" s="49" t="s">
        <v>22</v>
      </c>
      <c r="H697" s="49" t="s">
        <v>6</v>
      </c>
      <c r="I697" s="49" t="s">
        <v>22</v>
      </c>
      <c r="J697" s="49" t="s">
        <v>6</v>
      </c>
      <c r="K697" s="49" t="s">
        <v>3</v>
      </c>
      <c r="L697" s="49" t="s">
        <v>4</v>
      </c>
      <c r="M697" s="49" t="s">
        <v>5</v>
      </c>
      <c r="N697" s="49" t="s">
        <v>22</v>
      </c>
      <c r="O697" s="49" t="s">
        <v>6</v>
      </c>
      <c r="R697" s="49" t="s">
        <v>3</v>
      </c>
      <c r="S697" s="49" t="s">
        <v>4</v>
      </c>
      <c r="T697" s="49" t="s">
        <v>5</v>
      </c>
      <c r="U697" s="49" t="s">
        <v>22</v>
      </c>
      <c r="V697" s="49" t="s">
        <v>6</v>
      </c>
      <c r="Y697" s="49" t="s">
        <v>3</v>
      </c>
      <c r="Z697" s="49" t="s">
        <v>4</v>
      </c>
      <c r="AA697" s="49" t="s">
        <v>5</v>
      </c>
      <c r="AB697" s="49" t="s">
        <v>22</v>
      </c>
      <c r="AC697" s="49" t="s">
        <v>6</v>
      </c>
      <c r="AF697" s="49" t="s">
        <v>3</v>
      </c>
      <c r="AG697" s="49" t="s">
        <v>4</v>
      </c>
      <c r="AH697" s="49" t="s">
        <v>5</v>
      </c>
      <c r="AI697" s="49" t="s">
        <v>22</v>
      </c>
      <c r="AJ697" s="49"/>
    </row>
    <row r="698" spans="1:36">
      <c r="A698" s="12" t="s">
        <v>47</v>
      </c>
      <c r="E698" s="12">
        <v>3699247.2</v>
      </c>
      <c r="F698" s="86">
        <v>3729862.53</v>
      </c>
      <c r="G698" s="86">
        <v>3764415.08</v>
      </c>
      <c r="K698" s="86">
        <v>3800994.35</v>
      </c>
      <c r="L698" s="12">
        <v>3880243.59</v>
      </c>
      <c r="M698" s="12">
        <v>3911603.93</v>
      </c>
      <c r="N698" s="86">
        <v>3571483.24</v>
      </c>
      <c r="O698" s="86">
        <v>3643865.44</v>
      </c>
      <c r="P698" s="89"/>
      <c r="Q698" s="89"/>
      <c r="R698" s="86">
        <v>3736964.18</v>
      </c>
      <c r="S698" s="86">
        <v>3803946.44</v>
      </c>
      <c r="T698" s="86">
        <v>3861523.14</v>
      </c>
      <c r="U698" s="86">
        <v>3937194.99</v>
      </c>
      <c r="V698" s="85">
        <v>4016002.96</v>
      </c>
      <c r="Y698" s="12">
        <v>4065504.83</v>
      </c>
      <c r="Z698" s="86">
        <v>4158975.15</v>
      </c>
      <c r="AA698" s="86">
        <v>3515681.9</v>
      </c>
      <c r="AB698" s="86">
        <v>3575554.55</v>
      </c>
      <c r="AC698" s="12">
        <v>3649273.25</v>
      </c>
      <c r="AF698" s="86">
        <v>3730539.24</v>
      </c>
      <c r="AG698" s="86">
        <v>3795155.98</v>
      </c>
      <c r="AH698" s="86">
        <v>3868102.28</v>
      </c>
      <c r="AI698" s="86">
        <v>3948323.63</v>
      </c>
    </row>
    <row r="699" spans="1:36">
      <c r="A699" s="12" t="s">
        <v>18</v>
      </c>
      <c r="E699" s="89">
        <v>373332.13999999972</v>
      </c>
      <c r="F699" s="12">
        <v>367837.20999999973</v>
      </c>
      <c r="G699" s="89">
        <v>367737.20999999973</v>
      </c>
      <c r="K699" s="12">
        <v>-50062.750000000364</v>
      </c>
      <c r="L699" s="12">
        <v>-190358.19</v>
      </c>
      <c r="M699" s="12">
        <v>-208905.86</v>
      </c>
      <c r="N699" s="12">
        <v>-251294.61000000022</v>
      </c>
      <c r="O699" s="12">
        <v>-267208.7100000002</v>
      </c>
      <c r="R699" s="12">
        <v>82694.38999999997</v>
      </c>
      <c r="S699" s="12">
        <v>69921.939999999973</v>
      </c>
      <c r="T699" s="12">
        <v>49260.320000000087</v>
      </c>
      <c r="U699" s="89">
        <v>33918.090000000382</v>
      </c>
      <c r="V699" s="12">
        <v>-691.6099999998338</v>
      </c>
      <c r="Y699" s="12">
        <v>-635529.21999999916</v>
      </c>
      <c r="Z699" s="12">
        <v>-692097.9999999993</v>
      </c>
      <c r="AA699" s="12">
        <v>-702955.29999999935</v>
      </c>
      <c r="AB699" s="12">
        <v>-688607.14999999921</v>
      </c>
      <c r="AC699" s="12">
        <v>-55407.659999999851</v>
      </c>
      <c r="AF699" s="12">
        <v>-56685.809999999874</v>
      </c>
      <c r="AG699" s="12">
        <v>-58176.869999999988</v>
      </c>
      <c r="AH699" s="12">
        <v>-77254.08000000006</v>
      </c>
      <c r="AI699" s="12">
        <v>-191434.46999999986</v>
      </c>
    </row>
    <row r="700" spans="1:36">
      <c r="A700" t="s">
        <v>21</v>
      </c>
      <c r="E700" s="16">
        <v>0</v>
      </c>
      <c r="F700" s="16">
        <v>0</v>
      </c>
      <c r="G700" s="16">
        <v>0</v>
      </c>
      <c r="H700" s="16"/>
      <c r="I700" s="16"/>
      <c r="J700" s="16"/>
      <c r="K700" s="16">
        <v>0</v>
      </c>
      <c r="L700" s="16">
        <v>0</v>
      </c>
      <c r="M700" s="16">
        <v>0</v>
      </c>
      <c r="N700" s="16">
        <v>400000</v>
      </c>
      <c r="O700" s="16">
        <v>400000</v>
      </c>
      <c r="P700" s="16"/>
      <c r="Q700" s="16"/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/>
      <c r="X700" s="16"/>
      <c r="Y700" s="16">
        <v>0</v>
      </c>
      <c r="Z700" s="16">
        <v>0</v>
      </c>
      <c r="AA700" s="16">
        <v>700000</v>
      </c>
      <c r="AB700" s="16">
        <v>700000</v>
      </c>
      <c r="AC700" s="16">
        <v>0</v>
      </c>
      <c r="AD700" s="16"/>
      <c r="AE700" s="16"/>
      <c r="AF700" s="16">
        <v>0</v>
      </c>
      <c r="AG700" s="16">
        <v>0</v>
      </c>
      <c r="AH700" s="16">
        <v>0</v>
      </c>
      <c r="AI700" s="16">
        <v>0</v>
      </c>
    </row>
    <row r="701" spans="1:36">
      <c r="A701" t="s">
        <v>122</v>
      </c>
      <c r="E701" s="12">
        <f>SUM(E698:E700)</f>
        <v>4072579.34</v>
      </c>
      <c r="F701" s="12">
        <f t="shared" ref="F701:AI701" si="121">SUM(F698:F700)</f>
        <v>4097699.7399999993</v>
      </c>
      <c r="G701" s="12">
        <f t="shared" si="121"/>
        <v>4132152.29</v>
      </c>
      <c r="H701" s="12">
        <f t="shared" si="121"/>
        <v>0</v>
      </c>
      <c r="I701" s="12">
        <f t="shared" si="121"/>
        <v>0</v>
      </c>
      <c r="J701" s="12">
        <f t="shared" si="121"/>
        <v>0</v>
      </c>
      <c r="K701" s="12">
        <f t="shared" si="121"/>
        <v>3750931.5999999996</v>
      </c>
      <c r="L701" s="12">
        <f t="shared" si="121"/>
        <v>3689885.4</v>
      </c>
      <c r="M701" s="12">
        <f t="shared" si="121"/>
        <v>3702698.0700000003</v>
      </c>
      <c r="N701" s="12">
        <f t="shared" si="121"/>
        <v>3720188.63</v>
      </c>
      <c r="O701" s="12">
        <f t="shared" si="121"/>
        <v>3776656.7299999995</v>
      </c>
      <c r="P701" s="12">
        <f t="shared" si="121"/>
        <v>0</v>
      </c>
      <c r="Q701" s="12">
        <f t="shared" si="121"/>
        <v>0</v>
      </c>
      <c r="R701" s="12">
        <f t="shared" si="121"/>
        <v>3819658.5700000003</v>
      </c>
      <c r="S701" s="12">
        <f t="shared" si="121"/>
        <v>3873868.38</v>
      </c>
      <c r="T701" s="12">
        <f t="shared" si="121"/>
        <v>3910783.4600000004</v>
      </c>
      <c r="U701" s="12">
        <f t="shared" si="121"/>
        <v>3971113.0800000005</v>
      </c>
      <c r="V701" s="12">
        <f t="shared" si="121"/>
        <v>4015311.35</v>
      </c>
      <c r="W701" s="12">
        <f t="shared" si="121"/>
        <v>0</v>
      </c>
      <c r="X701" s="12">
        <f t="shared" si="121"/>
        <v>0</v>
      </c>
      <c r="Y701" s="12">
        <f t="shared" si="121"/>
        <v>3429975.6100000008</v>
      </c>
      <c r="Z701" s="12">
        <f t="shared" si="121"/>
        <v>3466877.1500000004</v>
      </c>
      <c r="AA701" s="12">
        <f t="shared" si="121"/>
        <v>3512726.6000000006</v>
      </c>
      <c r="AB701" s="12">
        <f t="shared" si="121"/>
        <v>3586947.4000000004</v>
      </c>
      <c r="AC701" s="12">
        <f t="shared" si="121"/>
        <v>3593865.5900000003</v>
      </c>
      <c r="AD701" s="12">
        <f t="shared" si="121"/>
        <v>0</v>
      </c>
      <c r="AE701" s="12">
        <f t="shared" si="121"/>
        <v>0</v>
      </c>
      <c r="AF701" s="12">
        <f t="shared" si="121"/>
        <v>3673853.43</v>
      </c>
      <c r="AG701" s="12">
        <f t="shared" si="121"/>
        <v>3736979.11</v>
      </c>
      <c r="AH701" s="12">
        <f t="shared" si="121"/>
        <v>3790848.1999999997</v>
      </c>
      <c r="AI701" s="12">
        <f t="shared" si="121"/>
        <v>3756889.16</v>
      </c>
    </row>
    <row r="704" spans="1:36">
      <c r="A704" s="18" t="s">
        <v>48</v>
      </c>
      <c r="E704" s="12">
        <f>+E698-AG681</f>
        <v>86935.320000000298</v>
      </c>
      <c r="F704" s="12">
        <f>+F698-E698</f>
        <v>30615.329999999609</v>
      </c>
      <c r="G704" s="12">
        <f>+G698-F698</f>
        <v>34552.550000000279</v>
      </c>
      <c r="K704" s="12">
        <f>+K698-G698</f>
        <v>36579.270000000019</v>
      </c>
      <c r="L704" s="12">
        <f>+L698-K698</f>
        <v>79249.239999999758</v>
      </c>
      <c r="M704" s="12">
        <f>+M698-L698</f>
        <v>31360.340000000317</v>
      </c>
      <c r="N704" s="12">
        <f>+N698-M698+400000</f>
        <v>59879.310000000056</v>
      </c>
      <c r="O704" s="12">
        <f>+O698-N698</f>
        <v>72382.199999999721</v>
      </c>
      <c r="R704" s="12">
        <f>+R698-O698</f>
        <v>93098.740000000224</v>
      </c>
      <c r="S704" s="12">
        <f t="shared" ref="S704:U705" si="122">+S698-R698</f>
        <v>66982.259999999776</v>
      </c>
      <c r="T704" s="12">
        <f t="shared" si="122"/>
        <v>57576.700000000186</v>
      </c>
      <c r="U704" s="91">
        <f t="shared" si="122"/>
        <v>75671.850000000093</v>
      </c>
      <c r="V704" s="12">
        <f>+V698-U698</f>
        <v>78807.969999999739</v>
      </c>
      <c r="Y704" s="12">
        <f>+Y698-V698</f>
        <v>49501.870000000112</v>
      </c>
      <c r="Z704" s="12">
        <f t="shared" ref="Z704:AB705" si="123">+Z698-Y698</f>
        <v>93470.319999999832</v>
      </c>
      <c r="AA704" s="91">
        <f>+AA698-Z698+700000</f>
        <v>56706.75</v>
      </c>
      <c r="AB704" s="91">
        <f t="shared" si="123"/>
        <v>59872.649999999907</v>
      </c>
      <c r="AC704" s="12">
        <f>+AC698-AB698</f>
        <v>73718.700000000186</v>
      </c>
      <c r="AF704" s="12">
        <f>+AF698-AC698</f>
        <v>81265.990000000224</v>
      </c>
      <c r="AG704" s="12">
        <f t="shared" ref="AG704:AI705" si="124">+AG698-AF698</f>
        <v>64616.739999999758</v>
      </c>
      <c r="AH704" s="91">
        <f t="shared" si="124"/>
        <v>72946.299999999814</v>
      </c>
      <c r="AI704" s="91">
        <f t="shared" si="124"/>
        <v>80221.350000000093</v>
      </c>
    </row>
    <row r="705" spans="1:35 16384:16384">
      <c r="A705" s="18" t="s">
        <v>49</v>
      </c>
      <c r="E705" s="16">
        <f>+E699-AG682</f>
        <v>19953.080000000075</v>
      </c>
      <c r="F705" s="16">
        <f>+F699-E699</f>
        <v>-5494.929999999993</v>
      </c>
      <c r="G705" s="16">
        <f>+G699-F699</f>
        <v>-100</v>
      </c>
      <c r="H705" s="16"/>
      <c r="I705" s="16"/>
      <c r="J705" s="16"/>
      <c r="K705" s="16">
        <f>+K699-G699</f>
        <v>-417799.96000000008</v>
      </c>
      <c r="L705" s="16">
        <f>+L699-K699</f>
        <v>-140295.43999999965</v>
      </c>
      <c r="M705" s="16">
        <f>+M699-L699</f>
        <v>-18547.669999999984</v>
      </c>
      <c r="N705" s="16">
        <f>+N699-M699</f>
        <v>-42388.750000000233</v>
      </c>
      <c r="O705" s="16">
        <f>+O699-N699</f>
        <v>-15914.099999999977</v>
      </c>
      <c r="P705" s="16"/>
      <c r="Q705" s="16"/>
      <c r="R705" s="16">
        <f>+R699-O699-400000</f>
        <v>-50096.899999999849</v>
      </c>
      <c r="S705" s="16">
        <f t="shared" si="122"/>
        <v>-12772.449999999997</v>
      </c>
      <c r="T705" s="16">
        <f t="shared" si="122"/>
        <v>-20661.619999999886</v>
      </c>
      <c r="U705" s="16">
        <f t="shared" si="122"/>
        <v>-15342.229999999705</v>
      </c>
      <c r="V705" s="16">
        <f>+V699-U699</f>
        <v>-34609.700000000215</v>
      </c>
      <c r="W705" s="16"/>
      <c r="X705" s="16"/>
      <c r="Y705" s="16">
        <f>+Y699-V699</f>
        <v>-634837.60999999929</v>
      </c>
      <c r="Z705" s="16">
        <f t="shared" si="123"/>
        <v>-56568.780000000144</v>
      </c>
      <c r="AA705" s="16">
        <f>+AB699-Z699</f>
        <v>3490.8500000000931</v>
      </c>
      <c r="AB705" s="16">
        <f>+AB699-AA699</f>
        <v>14348.15000000014</v>
      </c>
      <c r="AC705" s="16">
        <f>+AC699-AB699-700000</f>
        <v>-66800.510000000591</v>
      </c>
      <c r="AD705" s="16"/>
      <c r="AE705" s="16"/>
      <c r="AF705" s="16">
        <f>+AF699-AC699</f>
        <v>-1278.1500000000233</v>
      </c>
      <c r="AG705" s="16">
        <f t="shared" si="124"/>
        <v>-1491.0600000001141</v>
      </c>
      <c r="AH705" s="16">
        <f t="shared" si="124"/>
        <v>-19077.210000000072</v>
      </c>
      <c r="AI705" s="16">
        <f t="shared" si="124"/>
        <v>-114180.3899999998</v>
      </c>
    </row>
    <row r="706" spans="1:35 16384:16384">
      <c r="A706" t="s">
        <v>160</v>
      </c>
      <c r="E706" s="12">
        <f>SUM(E704:E705)</f>
        <v>106888.40000000037</v>
      </c>
      <c r="F706" s="12">
        <f>SUM(F704:F705)</f>
        <v>25120.399999999616</v>
      </c>
      <c r="G706" s="12">
        <f>SUM(G704:G705)</f>
        <v>34452.550000000279</v>
      </c>
      <c r="K706" s="12">
        <f>SUM(K704:K705)</f>
        <v>-381220.69000000006</v>
      </c>
      <c r="L706" s="12">
        <f>SUM(L704:L705)</f>
        <v>-61046.199999999895</v>
      </c>
      <c r="M706" s="12">
        <f>SUM(M704:M705)</f>
        <v>12812.670000000333</v>
      </c>
      <c r="N706" s="12">
        <f>SUM(N704:N705)</f>
        <v>17490.559999999823</v>
      </c>
      <c r="O706" s="12">
        <f t="shared" ref="O706:S706" si="125">SUM(O704:O705)</f>
        <v>56468.099999999744</v>
      </c>
      <c r="P706" s="12">
        <f t="shared" si="125"/>
        <v>0</v>
      </c>
      <c r="Q706" s="12">
        <f t="shared" si="125"/>
        <v>0</v>
      </c>
      <c r="R706" s="12">
        <f t="shared" si="125"/>
        <v>43001.840000000375</v>
      </c>
      <c r="S706" s="12">
        <f t="shared" si="125"/>
        <v>54209.809999999779</v>
      </c>
      <c r="T706" s="12">
        <f>SUM(T704:T705)</f>
        <v>36915.0800000003</v>
      </c>
      <c r="U706" s="91">
        <f>SUM(U704:U705)</f>
        <v>60329.620000000388</v>
      </c>
      <c r="V706" s="12">
        <f>SUM(V704:V705)</f>
        <v>44198.269999999524</v>
      </c>
      <c r="Y706" s="12">
        <f>SUM(Y704:Y705)</f>
        <v>-585335.73999999918</v>
      </c>
      <c r="Z706" s="12">
        <f>SUM(Z704:Z705)</f>
        <v>36901.539999999688</v>
      </c>
      <c r="AA706" s="12">
        <f t="shared" ref="AA706:AB706" si="126">SUM(AA704:AA705)</f>
        <v>60197.600000000093</v>
      </c>
      <c r="AB706" s="12">
        <f t="shared" si="126"/>
        <v>74220.800000000047</v>
      </c>
      <c r="AC706" s="12">
        <f>SUM(AC704:AC705)</f>
        <v>6918.1899999995949</v>
      </c>
      <c r="AF706" s="12">
        <f>SUM(AF704:AF705)</f>
        <v>79987.8400000002</v>
      </c>
      <c r="AG706" s="12">
        <f>SUM(AG704:AG705)</f>
        <v>63125.679999999644</v>
      </c>
      <c r="AH706" s="91">
        <f>SUM(AH704:AH705)</f>
        <v>53869.089999999742</v>
      </c>
      <c r="AI706" s="12">
        <f>SUM(AI704:AI705)</f>
        <v>-33959.039999999703</v>
      </c>
      <c r="XFD706" s="12"/>
    </row>
    <row r="709" spans="1:35 16384:16384">
      <c r="E709" s="28">
        <v>1</v>
      </c>
      <c r="F709" s="28">
        <v>4</v>
      </c>
      <c r="G709" s="28">
        <v>5</v>
      </c>
      <c r="H709" s="28">
        <v>6</v>
      </c>
      <c r="I709" s="28">
        <v>7</v>
      </c>
      <c r="J709" s="28">
        <v>8</v>
      </c>
      <c r="K709" s="28">
        <v>7</v>
      </c>
      <c r="L709" s="28">
        <v>8</v>
      </c>
      <c r="M709" s="28">
        <v>11</v>
      </c>
      <c r="N709" s="28">
        <v>12</v>
      </c>
      <c r="O709" s="28">
        <v>13</v>
      </c>
      <c r="R709" s="28">
        <v>14</v>
      </c>
      <c r="S709" s="28">
        <v>15</v>
      </c>
      <c r="T709" s="28">
        <v>18</v>
      </c>
      <c r="U709" s="28">
        <v>19</v>
      </c>
      <c r="V709" s="28">
        <v>20</v>
      </c>
      <c r="Y709" s="28">
        <v>21</v>
      </c>
      <c r="Z709" s="28">
        <v>22</v>
      </c>
      <c r="AA709" s="28">
        <v>25</v>
      </c>
      <c r="AB709" s="28">
        <v>26</v>
      </c>
      <c r="AC709" s="28">
        <v>27</v>
      </c>
      <c r="AF709" s="28">
        <v>28</v>
      </c>
      <c r="AG709" s="28">
        <v>29</v>
      </c>
    </row>
    <row r="710" spans="1:35 16384:16384">
      <c r="A710" s="18" t="s">
        <v>41</v>
      </c>
      <c r="B710" s="18">
        <v>2014</v>
      </c>
      <c r="E710" s="49" t="s">
        <v>6</v>
      </c>
      <c r="F710" s="49" t="s">
        <v>3</v>
      </c>
      <c r="G710" s="49" t="s">
        <v>4</v>
      </c>
      <c r="H710" s="49" t="s">
        <v>5</v>
      </c>
      <c r="I710" s="49" t="s">
        <v>22</v>
      </c>
      <c r="J710" s="49" t="s">
        <v>6</v>
      </c>
      <c r="K710" s="49" t="s">
        <v>22</v>
      </c>
      <c r="L710" s="49" t="s">
        <v>6</v>
      </c>
      <c r="M710" s="49" t="s">
        <v>3</v>
      </c>
      <c r="N710" s="49" t="s">
        <v>4</v>
      </c>
      <c r="O710" s="49" t="s">
        <v>5</v>
      </c>
      <c r="P710" s="49" t="s">
        <v>22</v>
      </c>
      <c r="Q710" s="49" t="s">
        <v>6</v>
      </c>
      <c r="R710" s="49" t="s">
        <v>22</v>
      </c>
      <c r="S710" s="49" t="s">
        <v>6</v>
      </c>
      <c r="T710" s="49" t="s">
        <v>3</v>
      </c>
      <c r="U710" s="49" t="s">
        <v>4</v>
      </c>
      <c r="V710" s="49" t="s">
        <v>5</v>
      </c>
      <c r="W710" s="49" t="s">
        <v>22</v>
      </c>
      <c r="X710" s="49" t="s">
        <v>6</v>
      </c>
      <c r="Y710" s="49" t="s">
        <v>22</v>
      </c>
      <c r="Z710" s="49" t="s">
        <v>6</v>
      </c>
      <c r="AA710" s="49" t="s">
        <v>3</v>
      </c>
      <c r="AB710" s="49" t="s">
        <v>4</v>
      </c>
      <c r="AC710" s="49" t="s">
        <v>5</v>
      </c>
      <c r="AD710" s="49" t="s">
        <v>22</v>
      </c>
      <c r="AE710" s="49" t="s">
        <v>6</v>
      </c>
      <c r="AF710" s="49" t="s">
        <v>22</v>
      </c>
      <c r="AG710" s="49" t="s">
        <v>6</v>
      </c>
    </row>
    <row r="711" spans="1:35 16384:16384">
      <c r="A711" s="12" t="s">
        <v>47</v>
      </c>
      <c r="E711" s="85">
        <v>4063674.26</v>
      </c>
      <c r="F711" s="12">
        <v>4101517.49</v>
      </c>
      <c r="G711" s="86">
        <v>3633179.82</v>
      </c>
      <c r="H711" s="86">
        <v>3680783.5</v>
      </c>
      <c r="I711" s="89"/>
      <c r="J711" s="89"/>
      <c r="K711" s="86">
        <v>3350465.44</v>
      </c>
      <c r="L711" s="86">
        <v>3446723.97</v>
      </c>
      <c r="M711" s="86">
        <v>3531016.47</v>
      </c>
      <c r="N711" s="86">
        <v>3611914.98</v>
      </c>
      <c r="O711" s="86">
        <v>3673567.85</v>
      </c>
      <c r="P711" s="89"/>
      <c r="Q711" s="89"/>
      <c r="R711" s="86">
        <v>3719432.78</v>
      </c>
      <c r="S711" s="86">
        <v>3814134.47</v>
      </c>
      <c r="T711" s="86">
        <v>3882639.47</v>
      </c>
      <c r="U711" s="86">
        <v>3286406.75</v>
      </c>
      <c r="V711" s="86">
        <v>3396490.8</v>
      </c>
      <c r="W711" s="89"/>
      <c r="X711" s="89"/>
      <c r="Y711" s="86">
        <v>3469394.38</v>
      </c>
      <c r="Z711" s="86">
        <v>3548127.16</v>
      </c>
      <c r="AA711" s="86">
        <v>3626919.99</v>
      </c>
      <c r="AB711" s="86">
        <v>2926133.47</v>
      </c>
      <c r="AC711" s="86">
        <v>2987145.6</v>
      </c>
      <c r="AD711" s="89"/>
      <c r="AE711" s="89"/>
      <c r="AF711" s="86">
        <v>3044780.13</v>
      </c>
      <c r="AG711" s="86">
        <v>3136492.77</v>
      </c>
    </row>
    <row r="712" spans="1:35 16384:16384">
      <c r="A712" s="12" t="s">
        <v>18</v>
      </c>
      <c r="E712" s="12">
        <v>-229389.59999999974</v>
      </c>
      <c r="F712" s="12">
        <v>-889271.49999999977</v>
      </c>
      <c r="G712" s="12">
        <v>-891997.61999999976</v>
      </c>
      <c r="H712" s="12">
        <v>-904174.40999999968</v>
      </c>
      <c r="K712" s="12">
        <v>-923734.63</v>
      </c>
      <c r="L712" s="12">
        <v>-120546.30000000008</v>
      </c>
      <c r="M712" s="12">
        <v>-116670.59</v>
      </c>
      <c r="N712" s="12">
        <v>-145012.60999999999</v>
      </c>
      <c r="O712" s="12">
        <v>-154564.62</v>
      </c>
      <c r="R712" s="12">
        <v>-160847.26999999999</v>
      </c>
      <c r="S712" s="12">
        <v>-179117.95999999985</v>
      </c>
      <c r="T712" s="12">
        <v>-761133.65999999992</v>
      </c>
      <c r="U712" s="12">
        <v>-832261.59000000008</v>
      </c>
      <c r="V712" s="12">
        <v>-210766.04000000015</v>
      </c>
      <c r="Y712" s="12">
        <v>-215667.5400000003</v>
      </c>
      <c r="Z712" s="12">
        <v>-226651.52999999997</v>
      </c>
      <c r="AA712" s="12">
        <v>-242279.76000000004</v>
      </c>
      <c r="AB712" s="12">
        <v>-260374.24000000008</v>
      </c>
      <c r="AC712" s="12">
        <v>417994.57999999984</v>
      </c>
      <c r="AF712" s="12">
        <v>403362.56999999983</v>
      </c>
      <c r="AG712" s="12">
        <v>365905.97000000015</v>
      </c>
    </row>
    <row r="713" spans="1:35 16384:16384">
      <c r="A713" t="s">
        <v>21</v>
      </c>
      <c r="E713" s="16">
        <v>0</v>
      </c>
      <c r="F713" s="16">
        <v>0</v>
      </c>
      <c r="G713" s="16">
        <v>500000</v>
      </c>
      <c r="H713" s="16">
        <v>500000</v>
      </c>
      <c r="I713" s="16"/>
      <c r="J713" s="16"/>
      <c r="K713" s="16">
        <f>400000+500000</f>
        <v>900000</v>
      </c>
      <c r="L713" s="16">
        <v>0</v>
      </c>
      <c r="M713" s="16">
        <v>0</v>
      </c>
      <c r="N713" s="16">
        <v>0</v>
      </c>
      <c r="O713" s="16">
        <v>0</v>
      </c>
      <c r="P713" s="16"/>
      <c r="Q713" s="16"/>
      <c r="R713" s="16">
        <v>0</v>
      </c>
      <c r="S713" s="16">
        <v>0</v>
      </c>
      <c r="T713" s="16">
        <v>0</v>
      </c>
      <c r="U713" s="16">
        <v>650000</v>
      </c>
      <c r="V713" s="16">
        <v>0</v>
      </c>
      <c r="W713" s="16"/>
      <c r="X713" s="16"/>
      <c r="Y713" s="16">
        <v>0</v>
      </c>
      <c r="Z713" s="16">
        <v>0</v>
      </c>
      <c r="AA713" s="16">
        <v>0</v>
      </c>
      <c r="AB713" s="16">
        <v>750000</v>
      </c>
      <c r="AC713" s="16">
        <v>0</v>
      </c>
      <c r="AD713" s="16"/>
      <c r="AE713" s="16"/>
      <c r="AF713" s="16">
        <v>0</v>
      </c>
      <c r="AG713" s="16">
        <v>0</v>
      </c>
    </row>
    <row r="714" spans="1:35 16384:16384">
      <c r="A714" t="s">
        <v>122</v>
      </c>
      <c r="E714" s="12">
        <f>SUM(E711:E713)</f>
        <v>3834284.66</v>
      </c>
      <c r="F714" s="12">
        <f t="shared" ref="F714:AG714" si="127">SUM(F711:F713)</f>
        <v>3212245.99</v>
      </c>
      <c r="G714" s="12">
        <f t="shared" si="127"/>
        <v>3241182.2</v>
      </c>
      <c r="H714" s="12">
        <f t="shared" si="127"/>
        <v>3276609.0900000003</v>
      </c>
      <c r="I714" s="12">
        <f t="shared" si="127"/>
        <v>0</v>
      </c>
      <c r="J714" s="12">
        <f t="shared" si="127"/>
        <v>0</v>
      </c>
      <c r="K714" s="12">
        <f t="shared" si="127"/>
        <v>3326730.81</v>
      </c>
      <c r="L714" s="12">
        <f t="shared" si="127"/>
        <v>3326177.67</v>
      </c>
      <c r="M714" s="12">
        <f t="shared" si="127"/>
        <v>3414345.8800000004</v>
      </c>
      <c r="N714" s="12">
        <f t="shared" si="127"/>
        <v>3466902.37</v>
      </c>
      <c r="O714" s="12">
        <f t="shared" si="127"/>
        <v>3519003.23</v>
      </c>
      <c r="P714" s="12">
        <f t="shared" si="127"/>
        <v>0</v>
      </c>
      <c r="Q714" s="12">
        <f t="shared" si="127"/>
        <v>0</v>
      </c>
      <c r="R714" s="12">
        <f t="shared" si="127"/>
        <v>3558585.51</v>
      </c>
      <c r="S714" s="12">
        <f t="shared" si="127"/>
        <v>3635016.5100000002</v>
      </c>
      <c r="T714" s="12">
        <f t="shared" si="127"/>
        <v>3121505.8100000005</v>
      </c>
      <c r="U714" s="12">
        <f t="shared" si="127"/>
        <v>3104145.16</v>
      </c>
      <c r="V714" s="12">
        <f t="shared" si="127"/>
        <v>3185724.76</v>
      </c>
      <c r="W714" s="12">
        <f t="shared" si="127"/>
        <v>0</v>
      </c>
      <c r="X714" s="12">
        <f t="shared" si="127"/>
        <v>0</v>
      </c>
      <c r="Y714" s="12">
        <f t="shared" si="127"/>
        <v>3253726.8399999994</v>
      </c>
      <c r="Z714" s="12">
        <f t="shared" si="127"/>
        <v>3321475.6300000004</v>
      </c>
      <c r="AA714" s="12">
        <f t="shared" si="127"/>
        <v>3384640.23</v>
      </c>
      <c r="AB714" s="12">
        <f t="shared" si="127"/>
        <v>3415759.23</v>
      </c>
      <c r="AC714" s="12">
        <f t="shared" si="127"/>
        <v>3405140.1799999997</v>
      </c>
      <c r="AD714" s="12">
        <f t="shared" si="127"/>
        <v>0</v>
      </c>
      <c r="AE714" s="12">
        <f t="shared" si="127"/>
        <v>0</v>
      </c>
      <c r="AF714" s="12">
        <f t="shared" si="127"/>
        <v>3448142.6999999997</v>
      </c>
      <c r="AG714" s="12">
        <f t="shared" si="127"/>
        <v>3502398.74</v>
      </c>
    </row>
    <row r="717" spans="1:35 16384:16384">
      <c r="A717" s="18" t="s">
        <v>48</v>
      </c>
      <c r="E717" s="12">
        <f>+E711-AI698</f>
        <v>115350.62999999989</v>
      </c>
      <c r="F717" s="12">
        <f t="shared" ref="F717:H718" si="128">+F711-E711</f>
        <v>37843.230000000447</v>
      </c>
      <c r="G717" s="12">
        <f>+G711-F711+500000</f>
        <v>31662.329999999609</v>
      </c>
      <c r="H717" s="12">
        <f t="shared" si="128"/>
        <v>47603.680000000168</v>
      </c>
      <c r="K717" s="91">
        <f>+K711-H711+400000</f>
        <v>69681.939999999944</v>
      </c>
      <c r="L717" s="91">
        <f>+L711-K711</f>
        <v>96258.530000000261</v>
      </c>
      <c r="M717" s="12">
        <f>+M711-L711</f>
        <v>84292.5</v>
      </c>
      <c r="N717" s="12">
        <f>+N711-M711</f>
        <v>80898.509999999776</v>
      </c>
      <c r="O717" s="12">
        <f>+O711-N711</f>
        <v>61652.870000000112</v>
      </c>
      <c r="R717" s="12">
        <f>+R711-O711</f>
        <v>45864.929999999702</v>
      </c>
      <c r="S717" s="12">
        <f t="shared" ref="S717:V718" si="129">+S711-R711</f>
        <v>94701.69000000041</v>
      </c>
      <c r="T717" s="12">
        <f t="shared" si="129"/>
        <v>68505</v>
      </c>
      <c r="U717" s="12">
        <f>+U711-T711+650000</f>
        <v>53767.279999999795</v>
      </c>
      <c r="V717" s="12">
        <f t="shared" si="129"/>
        <v>110084.04999999981</v>
      </c>
      <c r="Y717" s="12">
        <f>+Y711-V711</f>
        <v>72903.580000000075</v>
      </c>
      <c r="Z717" s="12">
        <f>+Z711-Y711</f>
        <v>78732.780000000261</v>
      </c>
      <c r="AA717" s="91">
        <f>+AA711-Z711</f>
        <v>78792.830000000075</v>
      </c>
      <c r="AB717" s="12">
        <f>+AB711-AA711+750000</f>
        <v>49213.479999999981</v>
      </c>
      <c r="AC717" s="12">
        <f>+AC711-AB711</f>
        <v>61012.129999999888</v>
      </c>
      <c r="AF717" s="12">
        <f>+AF711-AC711</f>
        <v>57634.529999999795</v>
      </c>
      <c r="AG717" s="12">
        <f>+AG711-AF711</f>
        <v>91712.64000000013</v>
      </c>
    </row>
    <row r="718" spans="1:35 16384:16384">
      <c r="A718" s="18" t="s">
        <v>49</v>
      </c>
      <c r="E718" s="16">
        <f>+E712-AI699</f>
        <v>-37955.129999999888</v>
      </c>
      <c r="F718" s="16">
        <f t="shared" si="128"/>
        <v>-659881.9</v>
      </c>
      <c r="G718" s="16">
        <f t="shared" si="128"/>
        <v>-2726.1199999999953</v>
      </c>
      <c r="H718" s="16">
        <f t="shared" si="128"/>
        <v>-12176.789999999921</v>
      </c>
      <c r="I718" s="16"/>
      <c r="J718" s="16"/>
      <c r="K718" s="16">
        <f>+K712-H712</f>
        <v>-19560.220000000321</v>
      </c>
      <c r="L718" s="16">
        <f>+L712-K712-900000</f>
        <v>-96811.670000000042</v>
      </c>
      <c r="M718" s="16">
        <f>+M712-L712</f>
        <v>3875.7100000000792</v>
      </c>
      <c r="N718" s="16">
        <f>+N712-M712</f>
        <v>-28342.01999999999</v>
      </c>
      <c r="O718" s="16">
        <f>+O712-N712</f>
        <v>-9552.0100000000093</v>
      </c>
      <c r="P718" s="16"/>
      <c r="Q718" s="16"/>
      <c r="R718" s="16">
        <f>+R712-O712</f>
        <v>-6282.6499999999942</v>
      </c>
      <c r="S718" s="16">
        <f t="shared" si="129"/>
        <v>-18270.689999999857</v>
      </c>
      <c r="T718" s="16">
        <f t="shared" si="129"/>
        <v>-582015.70000000007</v>
      </c>
      <c r="U718" s="16">
        <f t="shared" si="129"/>
        <v>-71127.930000000168</v>
      </c>
      <c r="V718" s="16">
        <f>+V712-U712-650000</f>
        <v>-28504.45000000007</v>
      </c>
      <c r="W718" s="16"/>
      <c r="X718" s="16"/>
      <c r="Y718" s="16">
        <f>+Y712-V712</f>
        <v>-4901.5000000001455</v>
      </c>
      <c r="Z718" s="16">
        <f>+Z712-Y712</f>
        <v>-10983.989999999671</v>
      </c>
      <c r="AA718" s="16">
        <f>+AA712-Z712</f>
        <v>-15628.230000000069</v>
      </c>
      <c r="AB718" s="16">
        <f>+AB712-AA712</f>
        <v>-18094.48000000004</v>
      </c>
      <c r="AC718" s="16">
        <f>+AC712-AB712-750000</f>
        <v>-71631.180000000051</v>
      </c>
      <c r="AD718" s="16"/>
      <c r="AE718" s="16"/>
      <c r="AF718" s="16">
        <f>+AF712-AC712</f>
        <v>-14632.010000000009</v>
      </c>
      <c r="AG718" s="16">
        <f>+AG712-AF712</f>
        <v>-37456.599999999686</v>
      </c>
    </row>
    <row r="719" spans="1:35 16384:16384">
      <c r="A719" t="s">
        <v>160</v>
      </c>
      <c r="E719" s="12">
        <f>SUM(E717:E718)</f>
        <v>77395.5</v>
      </c>
      <c r="F719" s="12">
        <f t="shared" ref="F719:AG719" si="130">SUM(F717:F718)</f>
        <v>-622038.66999999958</v>
      </c>
      <c r="G719" s="12">
        <f t="shared" si="130"/>
        <v>28936.209999999614</v>
      </c>
      <c r="H719" s="12">
        <f t="shared" si="130"/>
        <v>35426.890000000247</v>
      </c>
      <c r="I719" s="12">
        <f t="shared" si="130"/>
        <v>0</v>
      </c>
      <c r="J719" s="12">
        <f t="shared" si="130"/>
        <v>0</v>
      </c>
      <c r="K719" s="12">
        <f t="shared" si="130"/>
        <v>50121.719999999623</v>
      </c>
      <c r="L719" s="12">
        <f t="shared" si="130"/>
        <v>-553.13999999978114</v>
      </c>
      <c r="M719" s="12">
        <f t="shared" si="130"/>
        <v>88168.210000000079</v>
      </c>
      <c r="N719" s="12">
        <f t="shared" si="130"/>
        <v>52556.489999999787</v>
      </c>
      <c r="O719" s="12">
        <f t="shared" si="130"/>
        <v>52100.860000000102</v>
      </c>
      <c r="P719" s="12">
        <f t="shared" si="130"/>
        <v>0</v>
      </c>
      <c r="Q719" s="12">
        <f t="shared" si="130"/>
        <v>0</v>
      </c>
      <c r="R719" s="12">
        <f t="shared" si="130"/>
        <v>39582.279999999708</v>
      </c>
      <c r="S719" s="12">
        <f t="shared" si="130"/>
        <v>76431.000000000553</v>
      </c>
      <c r="T719" s="12">
        <f t="shared" si="130"/>
        <v>-513510.70000000007</v>
      </c>
      <c r="U719" s="12">
        <f t="shared" si="130"/>
        <v>-17360.650000000373</v>
      </c>
      <c r="V719" s="12">
        <f t="shared" si="130"/>
        <v>81579.599999999744</v>
      </c>
      <c r="W719" s="12">
        <f t="shared" si="130"/>
        <v>0</v>
      </c>
      <c r="X719" s="12">
        <f t="shared" si="130"/>
        <v>0</v>
      </c>
      <c r="Y719" s="12">
        <f t="shared" si="130"/>
        <v>68002.079999999929</v>
      </c>
      <c r="Z719" s="12">
        <f t="shared" si="130"/>
        <v>67748.79000000059</v>
      </c>
      <c r="AA719" s="12">
        <f t="shared" si="130"/>
        <v>63164.600000000006</v>
      </c>
      <c r="AB719" s="12">
        <f t="shared" si="130"/>
        <v>31118.999999999942</v>
      </c>
      <c r="AC719" s="12">
        <f t="shared" si="130"/>
        <v>-10619.050000000163</v>
      </c>
      <c r="AD719" s="12">
        <f t="shared" si="130"/>
        <v>0</v>
      </c>
      <c r="AE719" s="12">
        <f t="shared" si="130"/>
        <v>0</v>
      </c>
      <c r="AF719" s="12">
        <f t="shared" si="130"/>
        <v>43002.519999999786</v>
      </c>
      <c r="AG719" s="12">
        <f t="shared" si="130"/>
        <v>54256.040000000445</v>
      </c>
    </row>
    <row r="721" spans="1:34">
      <c r="E721" s="12" t="s">
        <v>79</v>
      </c>
    </row>
    <row r="722" spans="1:34">
      <c r="E722" s="28">
        <v>1</v>
      </c>
      <c r="F722" s="28">
        <v>2</v>
      </c>
      <c r="G722" s="28">
        <v>3</v>
      </c>
      <c r="H722" s="28">
        <v>4</v>
      </c>
      <c r="I722" s="28">
        <v>7</v>
      </c>
      <c r="J722" s="28">
        <v>8</v>
      </c>
      <c r="K722" s="28">
        <v>5</v>
      </c>
      <c r="L722" s="28">
        <v>8</v>
      </c>
      <c r="M722" s="28">
        <v>9</v>
      </c>
      <c r="N722" s="28">
        <v>10</v>
      </c>
      <c r="O722" s="28">
        <v>11</v>
      </c>
      <c r="R722" s="28">
        <v>12</v>
      </c>
      <c r="S722" s="28">
        <v>15</v>
      </c>
      <c r="T722" s="28">
        <v>16</v>
      </c>
      <c r="U722" s="28">
        <v>17</v>
      </c>
      <c r="V722" s="28">
        <v>18</v>
      </c>
      <c r="Y722" s="28">
        <v>19</v>
      </c>
      <c r="Z722" s="28">
        <v>22</v>
      </c>
      <c r="AA722" s="28">
        <v>23</v>
      </c>
      <c r="AB722" s="28">
        <v>24</v>
      </c>
      <c r="AC722" s="28">
        <v>25</v>
      </c>
      <c r="AF722" s="28">
        <v>26</v>
      </c>
      <c r="AG722" s="28">
        <v>29</v>
      </c>
      <c r="AH722" s="113">
        <v>30</v>
      </c>
    </row>
    <row r="723" spans="1:34">
      <c r="A723" s="18" t="s">
        <v>42</v>
      </c>
      <c r="B723" s="18">
        <v>2014</v>
      </c>
      <c r="E723" s="49" t="s">
        <v>3</v>
      </c>
      <c r="F723" s="49" t="s">
        <v>4</v>
      </c>
      <c r="G723" s="49" t="s">
        <v>5</v>
      </c>
      <c r="H723" s="49" t="s">
        <v>22</v>
      </c>
      <c r="I723" s="49" t="s">
        <v>6</v>
      </c>
      <c r="J723" s="49" t="s">
        <v>22</v>
      </c>
      <c r="K723" s="49" t="s">
        <v>6</v>
      </c>
      <c r="L723" s="49" t="s">
        <v>3</v>
      </c>
      <c r="M723" s="49" t="s">
        <v>4</v>
      </c>
      <c r="N723" s="49" t="s">
        <v>5</v>
      </c>
      <c r="O723" s="49" t="s">
        <v>22</v>
      </c>
      <c r="P723" s="49" t="s">
        <v>6</v>
      </c>
      <c r="Q723" s="49" t="s">
        <v>22</v>
      </c>
      <c r="R723" s="49" t="s">
        <v>6</v>
      </c>
      <c r="S723" s="49" t="s">
        <v>3</v>
      </c>
      <c r="T723" s="49" t="s">
        <v>4</v>
      </c>
      <c r="U723" s="49" t="s">
        <v>5</v>
      </c>
      <c r="V723" s="49" t="s">
        <v>22</v>
      </c>
      <c r="W723" s="49" t="s">
        <v>6</v>
      </c>
      <c r="X723" s="49" t="s">
        <v>22</v>
      </c>
      <c r="Y723" s="49" t="s">
        <v>6</v>
      </c>
      <c r="Z723" s="49" t="s">
        <v>3</v>
      </c>
      <c r="AA723" s="49" t="s">
        <v>4</v>
      </c>
      <c r="AB723" s="49" t="s">
        <v>5</v>
      </c>
      <c r="AC723" s="49" t="s">
        <v>22</v>
      </c>
      <c r="AD723" s="49" t="s">
        <v>6</v>
      </c>
      <c r="AE723" s="49" t="s">
        <v>22</v>
      </c>
      <c r="AF723" s="49" t="s">
        <v>6</v>
      </c>
      <c r="AG723" s="114" t="s">
        <v>3</v>
      </c>
      <c r="AH723" s="114" t="s">
        <v>4</v>
      </c>
    </row>
    <row r="724" spans="1:34">
      <c r="A724" s="12" t="s">
        <v>47</v>
      </c>
      <c r="E724" s="85"/>
      <c r="F724" s="89">
        <v>3225267.39</v>
      </c>
      <c r="G724" s="86">
        <v>3261449.86</v>
      </c>
      <c r="H724" s="86">
        <v>3322761.5</v>
      </c>
      <c r="I724" s="89"/>
      <c r="J724" s="89"/>
      <c r="K724" s="86">
        <v>3384213.99</v>
      </c>
      <c r="L724" s="86">
        <v>3459635.78</v>
      </c>
      <c r="M724" s="86">
        <v>3024395.9</v>
      </c>
      <c r="N724" s="86">
        <v>3087953.39</v>
      </c>
      <c r="O724" s="86">
        <v>3151940.72</v>
      </c>
      <c r="P724" s="89"/>
      <c r="Q724" s="89"/>
      <c r="R724" s="86">
        <v>3247104.68</v>
      </c>
      <c r="S724" s="86">
        <v>3291686.13</v>
      </c>
      <c r="T724" s="86">
        <v>2673400.41</v>
      </c>
      <c r="U724" s="86">
        <v>2758739.94</v>
      </c>
      <c r="V724" s="86">
        <v>2838004.63</v>
      </c>
      <c r="W724" s="89"/>
      <c r="X724" s="89"/>
      <c r="Y724" s="86">
        <v>2911136.15</v>
      </c>
      <c r="Z724" s="86">
        <v>2989498.54</v>
      </c>
      <c r="AA724" s="86">
        <v>3038811.58</v>
      </c>
      <c r="AB724" s="86">
        <v>3108487.35</v>
      </c>
      <c r="AC724" s="86">
        <v>3190902.95</v>
      </c>
      <c r="AD724" s="89"/>
      <c r="AE724" s="89"/>
      <c r="AF724" s="86">
        <v>3276568.05</v>
      </c>
      <c r="AG724" s="85">
        <v>2717500.46</v>
      </c>
      <c r="AH724" s="12">
        <v>2780364.81</v>
      </c>
    </row>
    <row r="725" spans="1:34">
      <c r="A725" s="12" t="s">
        <v>18</v>
      </c>
      <c r="F725" s="12">
        <v>-284842.84999999998</v>
      </c>
      <c r="G725" s="12">
        <v>-311253.44</v>
      </c>
      <c r="H725" s="12">
        <v>-312978.58</v>
      </c>
      <c r="K725" s="12">
        <v>-328747.48999999993</v>
      </c>
      <c r="L725" s="12">
        <v>-331272.81000000006</v>
      </c>
      <c r="M725" s="12">
        <v>-367604.7699999999</v>
      </c>
      <c r="N725" s="12">
        <v>-385710.23</v>
      </c>
      <c r="O725" s="12">
        <v>0</v>
      </c>
      <c r="R725" s="12">
        <v>-81242.390000000014</v>
      </c>
      <c r="S725" s="12">
        <v>-707626.60000000021</v>
      </c>
      <c r="T725" s="12">
        <v>-713151.65</v>
      </c>
      <c r="U725" s="95">
        <v>-57559.459999999948</v>
      </c>
      <c r="V725" s="95"/>
      <c r="W725" s="95"/>
      <c r="X725" s="95"/>
      <c r="Y725" s="95">
        <v>-92314.270000000048</v>
      </c>
      <c r="Z725" s="12">
        <v>-134360.78000000006</v>
      </c>
      <c r="AA725" s="12">
        <v>-153984.05000000013</v>
      </c>
      <c r="AB725" s="12">
        <v>-172926.36000000007</v>
      </c>
      <c r="AC725" s="12">
        <v>-209908.98000000004</v>
      </c>
      <c r="AF725" s="12">
        <v>-244025.22999999998</v>
      </c>
      <c r="AG725" s="12">
        <v>-899056.29</v>
      </c>
      <c r="AH725" s="12">
        <v>-867978.72</v>
      </c>
    </row>
    <row r="726" spans="1:34">
      <c r="A726" t="s">
        <v>21</v>
      </c>
      <c r="E726" s="16"/>
      <c r="F726" s="16">
        <v>0</v>
      </c>
      <c r="G726" s="16">
        <v>0</v>
      </c>
      <c r="H726" s="16">
        <v>0</v>
      </c>
      <c r="I726" s="16"/>
      <c r="J726" s="16"/>
      <c r="K726" s="16">
        <v>0</v>
      </c>
      <c r="L726" s="16">
        <v>0</v>
      </c>
      <c r="M726" s="16">
        <v>500000</v>
      </c>
      <c r="N726" s="16">
        <v>500000</v>
      </c>
      <c r="O726" s="16">
        <v>0</v>
      </c>
      <c r="P726" s="16"/>
      <c r="Q726" s="16"/>
      <c r="R726" s="16">
        <v>0</v>
      </c>
      <c r="S726" s="16">
        <v>0</v>
      </c>
      <c r="T726" s="16">
        <v>700000</v>
      </c>
      <c r="U726" s="16">
        <v>0</v>
      </c>
      <c r="V726" s="16">
        <v>0</v>
      </c>
      <c r="W726" s="16"/>
      <c r="X726" s="16"/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/>
      <c r="AE726" s="16"/>
      <c r="AF726" s="16">
        <v>0</v>
      </c>
      <c r="AG726" s="16">
        <v>600000</v>
      </c>
      <c r="AH726" s="16">
        <v>600000</v>
      </c>
    </row>
    <row r="727" spans="1:34">
      <c r="A727" t="s">
        <v>122</v>
      </c>
      <c r="F727" s="12">
        <f>SUM(F724:F726)</f>
        <v>2940424.54</v>
      </c>
      <c r="G727" s="12">
        <f>SUM(G724:G726)</f>
        <v>2950196.42</v>
      </c>
      <c r="H727" s="12">
        <f>SUM(H724:H726)</f>
        <v>3009782.92</v>
      </c>
      <c r="K727" s="12">
        <f t="shared" ref="K727:AH727" si="131">SUM(K724:K726)</f>
        <v>3055466.5000000005</v>
      </c>
      <c r="L727" s="12">
        <f t="shared" si="131"/>
        <v>3128362.9699999997</v>
      </c>
      <c r="M727" s="12">
        <f t="shared" si="131"/>
        <v>3156791.13</v>
      </c>
      <c r="N727" s="12">
        <f t="shared" si="131"/>
        <v>3202243.16</v>
      </c>
      <c r="O727" s="12">
        <f t="shared" si="131"/>
        <v>3151940.72</v>
      </c>
      <c r="P727" s="12">
        <f t="shared" si="131"/>
        <v>0</v>
      </c>
      <c r="Q727" s="12">
        <f t="shared" si="131"/>
        <v>0</v>
      </c>
      <c r="R727" s="12">
        <f t="shared" si="131"/>
        <v>3165862.29</v>
      </c>
      <c r="S727" s="12">
        <f t="shared" si="131"/>
        <v>2584059.5299999998</v>
      </c>
      <c r="T727" s="12">
        <f t="shared" si="131"/>
        <v>2660248.7600000002</v>
      </c>
      <c r="U727" s="12">
        <f t="shared" si="131"/>
        <v>2701180.48</v>
      </c>
      <c r="V727" s="12">
        <f t="shared" si="131"/>
        <v>2838004.63</v>
      </c>
      <c r="W727" s="12">
        <f t="shared" si="131"/>
        <v>0</v>
      </c>
      <c r="X727" s="12">
        <f t="shared" si="131"/>
        <v>0</v>
      </c>
      <c r="Y727" s="12">
        <f t="shared" si="131"/>
        <v>2818821.88</v>
      </c>
      <c r="Z727" s="12">
        <f t="shared" si="131"/>
        <v>2855137.76</v>
      </c>
      <c r="AA727" s="12">
        <f t="shared" si="131"/>
        <v>2884827.53</v>
      </c>
      <c r="AB727" s="12">
        <f t="shared" si="131"/>
        <v>2935560.99</v>
      </c>
      <c r="AC727" s="12">
        <f t="shared" si="131"/>
        <v>2980993.97</v>
      </c>
      <c r="AD727" s="12">
        <f t="shared" si="131"/>
        <v>0</v>
      </c>
      <c r="AE727" s="12">
        <f t="shared" si="131"/>
        <v>0</v>
      </c>
      <c r="AF727" s="12">
        <f t="shared" si="131"/>
        <v>3032542.82</v>
      </c>
      <c r="AG727" s="12">
        <f t="shared" si="131"/>
        <v>2418444.17</v>
      </c>
      <c r="AH727" s="12">
        <f t="shared" si="131"/>
        <v>2512386.09</v>
      </c>
    </row>
    <row r="730" spans="1:34">
      <c r="A730" s="18" t="s">
        <v>48</v>
      </c>
      <c r="F730" s="12">
        <f>F724-AG711</f>
        <v>88774.620000000112</v>
      </c>
      <c r="G730" s="12">
        <f>G724-F724</f>
        <v>36182.469999999739</v>
      </c>
      <c r="H730" s="12">
        <f>H724-G724</f>
        <v>61311.64000000013</v>
      </c>
      <c r="K730" s="91">
        <f>+K724-H724</f>
        <v>61452.490000000224</v>
      </c>
      <c r="L730" s="91">
        <f>+L724-K724</f>
        <v>75421.789999999572</v>
      </c>
      <c r="M730" s="91">
        <f>+M724-L724+500000</f>
        <v>64760.120000000112</v>
      </c>
      <c r="N730" s="12">
        <f>+N724-M724</f>
        <v>63557.490000000224</v>
      </c>
      <c r="O730" s="91">
        <f>+O724-N724</f>
        <v>63987.330000000075</v>
      </c>
      <c r="R730" s="12">
        <f>+R724-O724</f>
        <v>95163.959999999963</v>
      </c>
      <c r="S730" s="12">
        <f>+S724-R724</f>
        <v>44581.449999999721</v>
      </c>
      <c r="T730" s="91">
        <f>+T724-S724+700000</f>
        <v>81714.280000000261</v>
      </c>
      <c r="U730" s="12">
        <f>+U724-T724</f>
        <v>85339.529999999795</v>
      </c>
      <c r="V730" s="91">
        <f>+V724-U724</f>
        <v>79264.689999999944</v>
      </c>
      <c r="Y730" s="91">
        <f>+Y724-V724</f>
        <v>73131.520000000019</v>
      </c>
      <c r="Z730" s="91">
        <f t="shared" ref="Z730:AB731" si="132">+Z724-Y724</f>
        <v>78362.39000000013</v>
      </c>
      <c r="AA730" s="91">
        <f t="shared" si="132"/>
        <v>49313.040000000037</v>
      </c>
      <c r="AB730" s="91">
        <f t="shared" si="132"/>
        <v>69675.770000000019</v>
      </c>
      <c r="AC730" s="91">
        <f>+AC724-AB724</f>
        <v>82415.600000000093</v>
      </c>
      <c r="AF730" s="91">
        <f>+AF724-AC724</f>
        <v>85665.099999999627</v>
      </c>
      <c r="AG730" s="12">
        <f>+AG724-AF724+600000</f>
        <v>40932.410000000149</v>
      </c>
      <c r="AH730" s="12">
        <f>+AH724-AG724</f>
        <v>62864.350000000093</v>
      </c>
    </row>
    <row r="731" spans="1:34">
      <c r="A731" s="18" t="s">
        <v>49</v>
      </c>
      <c r="E731" s="16"/>
      <c r="F731" s="16">
        <f>F725-AG712</f>
        <v>-650748.82000000007</v>
      </c>
      <c r="G731" s="16">
        <f>G725-F725</f>
        <v>-26410.590000000026</v>
      </c>
      <c r="H731" s="16">
        <f>H725-G725</f>
        <v>-1725.140000000014</v>
      </c>
      <c r="I731" s="16"/>
      <c r="J731" s="16"/>
      <c r="K731" s="16">
        <f>+K725-H725</f>
        <v>-15768.909999999916</v>
      </c>
      <c r="L731" s="16">
        <f>+L725-K725</f>
        <v>-2525.3200000001234</v>
      </c>
      <c r="M731" s="16">
        <f>+M725-L725</f>
        <v>-36331.959999999846</v>
      </c>
      <c r="N731" s="16">
        <f>+N725-M725</f>
        <v>-18105.460000000079</v>
      </c>
      <c r="O731" s="16">
        <v>0</v>
      </c>
      <c r="P731" s="16"/>
      <c r="Q731" s="16"/>
      <c r="R731" s="16">
        <f>+R725-N725-500000</f>
        <v>-195532.16000000003</v>
      </c>
      <c r="S731" s="16">
        <f>+S725-R725</f>
        <v>-626384.2100000002</v>
      </c>
      <c r="T731" s="16">
        <f>+T725-S725</f>
        <v>-5525.0499999998137</v>
      </c>
      <c r="U731" s="16">
        <f>+U725-T725-700000</f>
        <v>-44407.809999999939</v>
      </c>
      <c r="V731" s="16"/>
      <c r="W731" s="16"/>
      <c r="X731" s="16"/>
      <c r="Y731" s="16">
        <f>+Y725-U725</f>
        <v>-34754.8100000001</v>
      </c>
      <c r="Z731" s="16">
        <f t="shared" si="132"/>
        <v>-42046.510000000009</v>
      </c>
      <c r="AA731" s="16">
        <f t="shared" si="132"/>
        <v>-19623.270000000077</v>
      </c>
      <c r="AB731" s="16">
        <f t="shared" si="132"/>
        <v>-18942.309999999939</v>
      </c>
      <c r="AC731" s="16">
        <f>+AC725-AB725</f>
        <v>-36982.619999999966</v>
      </c>
      <c r="AD731" s="16"/>
      <c r="AE731" s="16"/>
      <c r="AF731" s="16">
        <f>+AF725-AC725</f>
        <v>-34116.249999999942</v>
      </c>
      <c r="AG731" s="16">
        <f>+AG725-AF725</f>
        <v>-655031.06000000006</v>
      </c>
      <c r="AH731" s="16">
        <f>+AH725-AG725</f>
        <v>31077.570000000065</v>
      </c>
    </row>
    <row r="732" spans="1:34">
      <c r="A732" t="s">
        <v>160</v>
      </c>
      <c r="F732" s="12">
        <f>SUM(F730:F731)</f>
        <v>-561974.19999999995</v>
      </c>
      <c r="G732" s="12">
        <f>SUM(G730:G731)</f>
        <v>9771.8799999997136</v>
      </c>
      <c r="H732" s="12">
        <f>SUM(H730:H731)</f>
        <v>59586.500000000116</v>
      </c>
      <c r="K732" s="91">
        <f>SUM(K730:K731)</f>
        <v>45683.580000000307</v>
      </c>
      <c r="L732" s="91">
        <f>SUM(L730:L731)</f>
        <v>72896.469999999448</v>
      </c>
      <c r="M732" s="91">
        <f t="shared" ref="M732:AH732" si="133">SUM(M730:M731)</f>
        <v>28428.160000000265</v>
      </c>
      <c r="N732" s="91">
        <f t="shared" si="133"/>
        <v>45452.030000000144</v>
      </c>
      <c r="O732" s="91">
        <f t="shared" si="133"/>
        <v>63987.330000000075</v>
      </c>
      <c r="P732" s="91">
        <f t="shared" si="133"/>
        <v>0</v>
      </c>
      <c r="Q732" s="91">
        <f t="shared" si="133"/>
        <v>0</v>
      </c>
      <c r="R732" s="12">
        <f t="shared" si="133"/>
        <v>-100368.20000000007</v>
      </c>
      <c r="S732" s="12">
        <f t="shared" si="133"/>
        <v>-581802.76000000047</v>
      </c>
      <c r="T732" s="91">
        <f t="shared" si="133"/>
        <v>76189.230000000447</v>
      </c>
      <c r="U732" s="91">
        <f t="shared" si="133"/>
        <v>40931.719999999856</v>
      </c>
      <c r="V732" s="91">
        <f t="shared" si="133"/>
        <v>79264.689999999944</v>
      </c>
      <c r="W732" s="91">
        <f t="shared" si="133"/>
        <v>0</v>
      </c>
      <c r="X732" s="91">
        <f t="shared" si="133"/>
        <v>0</v>
      </c>
      <c r="Y732" s="91">
        <f t="shared" si="133"/>
        <v>38376.709999999919</v>
      </c>
      <c r="Z732" s="91">
        <f t="shared" si="133"/>
        <v>36315.880000000121</v>
      </c>
      <c r="AA732" s="91">
        <f t="shared" si="133"/>
        <v>29689.76999999996</v>
      </c>
      <c r="AB732" s="91">
        <f t="shared" si="133"/>
        <v>50733.460000000079</v>
      </c>
      <c r="AC732" s="91">
        <f t="shared" si="133"/>
        <v>45432.980000000127</v>
      </c>
      <c r="AD732" s="91">
        <f t="shared" si="133"/>
        <v>0</v>
      </c>
      <c r="AE732" s="91">
        <f t="shared" si="133"/>
        <v>0</v>
      </c>
      <c r="AF732" s="91">
        <f t="shared" si="133"/>
        <v>51548.849999999686</v>
      </c>
      <c r="AG732" s="91">
        <f t="shared" si="133"/>
        <v>-614098.64999999991</v>
      </c>
      <c r="AH732" s="91">
        <f t="shared" si="133"/>
        <v>93941.920000000158</v>
      </c>
    </row>
    <row r="737" spans="1:35">
      <c r="E737" s="28">
        <v>1</v>
      </c>
      <c r="F737" s="28">
        <v>2</v>
      </c>
      <c r="G737" s="28">
        <v>3</v>
      </c>
      <c r="H737" s="28">
        <v>6</v>
      </c>
      <c r="K737" s="28">
        <v>7</v>
      </c>
      <c r="L737" s="28">
        <v>8</v>
      </c>
      <c r="M737" s="28">
        <v>9</v>
      </c>
      <c r="N737" s="28">
        <v>10</v>
      </c>
      <c r="O737" s="28">
        <v>13</v>
      </c>
      <c r="P737" s="28">
        <v>15</v>
      </c>
      <c r="Q737" s="28">
        <v>16</v>
      </c>
      <c r="R737" s="28">
        <v>14</v>
      </c>
      <c r="S737" s="28">
        <v>15</v>
      </c>
      <c r="T737" s="28">
        <v>16</v>
      </c>
      <c r="U737" s="28">
        <v>17</v>
      </c>
      <c r="V737" s="28">
        <v>20</v>
      </c>
      <c r="Y737" s="28">
        <v>21</v>
      </c>
      <c r="Z737" s="28">
        <v>22</v>
      </c>
      <c r="AA737" s="28">
        <v>23</v>
      </c>
      <c r="AB737" s="28">
        <v>24</v>
      </c>
      <c r="AC737" s="28">
        <v>27</v>
      </c>
      <c r="AD737" s="28">
        <v>26</v>
      </c>
      <c r="AE737" s="28">
        <v>26</v>
      </c>
      <c r="AF737" s="28">
        <v>28</v>
      </c>
      <c r="AG737" s="28">
        <v>29</v>
      </c>
      <c r="AH737" s="113">
        <v>30</v>
      </c>
      <c r="AI737" s="113">
        <v>31</v>
      </c>
    </row>
    <row r="738" spans="1:35">
      <c r="A738" s="18" t="s">
        <v>43</v>
      </c>
      <c r="B738" s="18">
        <v>2014</v>
      </c>
      <c r="E738" s="49" t="s">
        <v>5</v>
      </c>
      <c r="F738" s="49" t="s">
        <v>22</v>
      </c>
      <c r="G738" s="49" t="s">
        <v>6</v>
      </c>
      <c r="H738" s="49" t="s">
        <v>3</v>
      </c>
      <c r="I738" s="49" t="s">
        <v>4</v>
      </c>
      <c r="K738" s="49" t="s">
        <v>4</v>
      </c>
      <c r="L738" s="49" t="s">
        <v>5</v>
      </c>
      <c r="M738" s="49" t="s">
        <v>22</v>
      </c>
      <c r="N738" s="49" t="s">
        <v>6</v>
      </c>
      <c r="O738" s="49" t="s">
        <v>3</v>
      </c>
      <c r="P738" s="49" t="s">
        <v>4</v>
      </c>
      <c r="R738" s="49" t="s">
        <v>4</v>
      </c>
      <c r="S738" s="49" t="s">
        <v>5</v>
      </c>
      <c r="T738" s="49" t="s">
        <v>22</v>
      </c>
      <c r="U738" s="49" t="s">
        <v>6</v>
      </c>
      <c r="V738" s="49" t="s">
        <v>3</v>
      </c>
      <c r="W738" s="49" t="s">
        <v>4</v>
      </c>
      <c r="Y738" s="49" t="s">
        <v>4</v>
      </c>
      <c r="Z738" s="49" t="s">
        <v>5</v>
      </c>
      <c r="AA738" s="49" t="s">
        <v>22</v>
      </c>
      <c r="AB738" s="49" t="s">
        <v>6</v>
      </c>
      <c r="AC738" s="49" t="s">
        <v>3</v>
      </c>
      <c r="AD738" s="49" t="s">
        <v>4</v>
      </c>
      <c r="AF738" s="49" t="s">
        <v>4</v>
      </c>
      <c r="AG738" s="49" t="s">
        <v>5</v>
      </c>
      <c r="AH738" s="49" t="s">
        <v>22</v>
      </c>
      <c r="AI738" s="49" t="s">
        <v>6</v>
      </c>
    </row>
    <row r="739" spans="1:35">
      <c r="A739" s="12" t="s">
        <v>47</v>
      </c>
      <c r="E739" s="12">
        <v>2853722.48</v>
      </c>
      <c r="F739" s="86">
        <v>2935178.86</v>
      </c>
      <c r="G739" s="86">
        <v>3015269.18</v>
      </c>
      <c r="H739" s="89">
        <v>3075281.97</v>
      </c>
    </row>
    <row r="740" spans="1:35">
      <c r="A740" s="12" t="s">
        <v>18</v>
      </c>
      <c r="E740" s="12">
        <v>-819645.27</v>
      </c>
      <c r="F740" s="12">
        <v>-260585.03999999998</v>
      </c>
      <c r="G740" s="12">
        <v>-278088.78999999986</v>
      </c>
      <c r="H740" s="12">
        <v>-302686.05999999982</v>
      </c>
    </row>
    <row r="741" spans="1:35">
      <c r="A741" t="s">
        <v>21</v>
      </c>
      <c r="E741" s="16">
        <v>600000</v>
      </c>
      <c r="F741" s="16">
        <v>0</v>
      </c>
      <c r="G741" s="16">
        <v>0</v>
      </c>
      <c r="H741" s="16">
        <v>0</v>
      </c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</row>
    <row r="742" spans="1:35">
      <c r="A742" t="s">
        <v>122</v>
      </c>
      <c r="E742" s="12">
        <f>SUM(E739:E741)</f>
        <v>2634077.21</v>
      </c>
      <c r="F742" s="12">
        <f t="shared" ref="F742:G742" si="134">SUM(F739:F741)</f>
        <v>2674593.8199999998</v>
      </c>
      <c r="G742" s="12">
        <f t="shared" si="134"/>
        <v>2737180.39</v>
      </c>
      <c r="H742" s="91">
        <f>SUM(H739:H741)</f>
        <v>2772595.91</v>
      </c>
      <c r="K742" s="91">
        <f t="shared" ref="K742:AI742" si="135">SUM(K739:K741)</f>
        <v>0</v>
      </c>
      <c r="L742" s="91">
        <f t="shared" si="135"/>
        <v>0</v>
      </c>
      <c r="M742" s="91">
        <f t="shared" si="135"/>
        <v>0</v>
      </c>
      <c r="N742" s="91">
        <f t="shared" si="135"/>
        <v>0</v>
      </c>
      <c r="O742" s="91">
        <f t="shared" si="135"/>
        <v>0</v>
      </c>
      <c r="P742" s="91">
        <f t="shared" si="135"/>
        <v>0</v>
      </c>
      <c r="Q742" s="91">
        <f t="shared" si="135"/>
        <v>0</v>
      </c>
      <c r="R742" s="91">
        <f t="shared" si="135"/>
        <v>0</v>
      </c>
      <c r="S742" s="91">
        <f t="shared" si="135"/>
        <v>0</v>
      </c>
      <c r="T742" s="91">
        <f t="shared" si="135"/>
        <v>0</v>
      </c>
      <c r="U742" s="91">
        <f t="shared" si="135"/>
        <v>0</v>
      </c>
      <c r="V742" s="91">
        <f t="shared" si="135"/>
        <v>0</v>
      </c>
      <c r="W742" s="91">
        <f t="shared" si="135"/>
        <v>0</v>
      </c>
      <c r="X742" s="91">
        <f t="shared" si="135"/>
        <v>0</v>
      </c>
      <c r="Y742" s="91">
        <f t="shared" si="135"/>
        <v>0</v>
      </c>
      <c r="Z742" s="91">
        <f t="shared" si="135"/>
        <v>0</v>
      </c>
      <c r="AA742" s="91">
        <f t="shared" si="135"/>
        <v>0</v>
      </c>
      <c r="AB742" s="91">
        <f t="shared" si="135"/>
        <v>0</v>
      </c>
      <c r="AC742" s="91">
        <f t="shared" si="135"/>
        <v>0</v>
      </c>
      <c r="AD742" s="91">
        <f t="shared" si="135"/>
        <v>0</v>
      </c>
      <c r="AE742" s="91">
        <f t="shared" si="135"/>
        <v>0</v>
      </c>
      <c r="AF742" s="91">
        <f t="shared" si="135"/>
        <v>0</v>
      </c>
      <c r="AG742" s="91">
        <f t="shared" si="135"/>
        <v>0</v>
      </c>
      <c r="AH742" s="91">
        <f t="shared" si="135"/>
        <v>0</v>
      </c>
      <c r="AI742" s="91">
        <f t="shared" si="135"/>
        <v>0</v>
      </c>
    </row>
    <row r="745" spans="1:35">
      <c r="A745" s="18" t="s">
        <v>48</v>
      </c>
      <c r="E745" s="12">
        <f>+E739-AH724</f>
        <v>73357.669999999925</v>
      </c>
      <c r="F745" s="12">
        <f>+F739-E739</f>
        <v>81456.379999999888</v>
      </c>
      <c r="G745" s="12">
        <f>+G739-F739</f>
        <v>80090.320000000298</v>
      </c>
      <c r="H745" s="12">
        <f>+H739-G739</f>
        <v>60012.790000000037</v>
      </c>
    </row>
    <row r="746" spans="1:35">
      <c r="A746" s="18" t="s">
        <v>49</v>
      </c>
      <c r="E746" s="16">
        <f>+E740-AH725</f>
        <v>48333.449999999953</v>
      </c>
      <c r="F746" s="16">
        <f>+F740-E740-600000</f>
        <v>-40939.770000000019</v>
      </c>
      <c r="G746" s="16">
        <f>+G740-F740</f>
        <v>-17503.749999999884</v>
      </c>
      <c r="H746" s="16">
        <f>+H740-G740</f>
        <v>-24597.26999999996</v>
      </c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</row>
    <row r="747" spans="1:35">
      <c r="A747" t="s">
        <v>160</v>
      </c>
      <c r="E747" s="12">
        <f>SUM(E745:E746)</f>
        <v>121691.11999999988</v>
      </c>
      <c r="F747" s="12">
        <f>SUM(F745:F746)</f>
        <v>40516.60999999987</v>
      </c>
      <c r="G747" s="12">
        <f>SUM(G745:G746)</f>
        <v>62586.570000000414</v>
      </c>
      <c r="H747" s="12">
        <f>SUM(H745:H746)</f>
        <v>35415.520000000077</v>
      </c>
    </row>
    <row r="750" spans="1:35">
      <c r="F750" s="8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AA7" sqref="AA7:AA12"/>
    </sheetView>
  </sheetViews>
  <sheetFormatPr defaultRowHeight="15"/>
  <cols>
    <col min="1" max="1" width="26" customWidth="1"/>
    <col min="2" max="2" width="9.7109375" bestFit="1" customWidth="1"/>
    <col min="3" max="3" width="10.5703125" bestFit="1" customWidth="1"/>
    <col min="4" max="4" width="10" customWidth="1"/>
    <col min="5" max="5" width="10.5703125" bestFit="1" customWidth="1"/>
    <col min="6" max="6" width="10" bestFit="1" customWidth="1"/>
    <col min="7" max="7" width="10" customWidth="1"/>
    <col min="8" max="8" width="10.5703125" bestFit="1" customWidth="1"/>
    <col min="9" max="9" width="12.28515625" bestFit="1" customWidth="1"/>
    <col min="10" max="11" width="11.5703125" bestFit="1" customWidth="1"/>
    <col min="12" max="12" width="10.7109375" bestFit="1" customWidth="1"/>
    <col min="13" max="13" width="10.5703125" bestFit="1" customWidth="1"/>
    <col min="14" max="14" width="11" bestFit="1" customWidth="1"/>
    <col min="15" max="15" width="11.5703125" bestFit="1" customWidth="1"/>
    <col min="16" max="16" width="11" bestFit="1" customWidth="1"/>
    <col min="17" max="17" width="11.5703125" bestFit="1" customWidth="1"/>
    <col min="18" max="18" width="10" bestFit="1" customWidth="1"/>
    <col min="19" max="19" width="10.5703125" bestFit="1" customWidth="1"/>
    <col min="20" max="21" width="9.7109375" bestFit="1" customWidth="1"/>
    <col min="22" max="23" width="10.7109375" bestFit="1" customWidth="1"/>
    <col min="24" max="24" width="11" bestFit="1" customWidth="1"/>
    <col min="25" max="25" width="12.28515625" bestFit="1" customWidth="1"/>
    <col min="26" max="26" width="12" customWidth="1"/>
    <col min="27" max="27" width="11.5703125" customWidth="1"/>
  </cols>
  <sheetData>
    <row r="1" spans="1:27">
      <c r="A1" s="18" t="s">
        <v>32</v>
      </c>
    </row>
    <row r="2" spans="1:27">
      <c r="A2" s="18" t="s">
        <v>33</v>
      </c>
    </row>
    <row r="5" spans="1:27">
      <c r="B5" s="38">
        <v>40602</v>
      </c>
      <c r="C5" s="38">
        <v>40633</v>
      </c>
      <c r="D5" s="39">
        <v>40662</v>
      </c>
      <c r="E5" s="38">
        <v>40694</v>
      </c>
      <c r="F5" s="38">
        <v>40724</v>
      </c>
      <c r="G5" s="39">
        <v>40753</v>
      </c>
      <c r="H5" s="38">
        <v>40786</v>
      </c>
      <c r="I5" s="38">
        <v>40816</v>
      </c>
      <c r="J5" s="39">
        <v>40847</v>
      </c>
      <c r="K5" s="38">
        <v>40877</v>
      </c>
      <c r="L5" s="38">
        <v>40900</v>
      </c>
      <c r="M5" s="39">
        <v>40939</v>
      </c>
      <c r="N5" s="38">
        <v>40968</v>
      </c>
      <c r="O5" s="38">
        <v>40998</v>
      </c>
      <c r="P5" s="38">
        <v>41029</v>
      </c>
      <c r="Q5" s="39">
        <v>41060</v>
      </c>
      <c r="R5" s="38">
        <v>41089</v>
      </c>
      <c r="S5" s="38">
        <v>41121</v>
      </c>
      <c r="T5" s="38">
        <v>41152</v>
      </c>
      <c r="U5" s="39">
        <v>41180</v>
      </c>
      <c r="V5" s="38">
        <v>41213</v>
      </c>
      <c r="W5" s="38">
        <v>41243</v>
      </c>
      <c r="X5" s="38">
        <v>41274</v>
      </c>
      <c r="Y5" s="38">
        <v>41305</v>
      </c>
      <c r="Z5" s="38">
        <v>41333</v>
      </c>
    </row>
    <row r="7" spans="1:27">
      <c r="A7" s="5" t="s">
        <v>19</v>
      </c>
    </row>
    <row r="8" spans="1:27">
      <c r="A8" s="12" t="s">
        <v>47</v>
      </c>
      <c r="B8" s="33">
        <f>Total!AF19</f>
        <v>988033.17</v>
      </c>
      <c r="C8" s="43">
        <f>Total!AI38</f>
        <v>771952.28</v>
      </c>
      <c r="D8" s="43">
        <f>Total!AG55</f>
        <v>1321352.72</v>
      </c>
      <c r="E8" s="43">
        <f>Total!AH71</f>
        <v>1323675.1000000001</v>
      </c>
      <c r="F8" s="43">
        <f>Total!AH88</f>
        <v>1168443.27</v>
      </c>
      <c r="G8" s="43">
        <f>Total!AG103</f>
        <v>785504.89</v>
      </c>
      <c r="H8" s="43">
        <f>Total!AI118</f>
        <v>783058.22</v>
      </c>
      <c r="I8" s="43">
        <f>Total!AH134</f>
        <v>590584.53</v>
      </c>
      <c r="J8" s="43">
        <f>Total!AG149</f>
        <v>909410.95</v>
      </c>
      <c r="K8" s="43">
        <f>Total!AH163</f>
        <v>643767.56000000006</v>
      </c>
      <c r="L8" s="43">
        <f>Total!AA178</f>
        <v>751455.74</v>
      </c>
      <c r="M8" s="43">
        <f>Total!AH196</f>
        <v>989195.09</v>
      </c>
      <c r="N8" s="43">
        <f>Total!AG210</f>
        <v>896472.47</v>
      </c>
      <c r="O8" s="43">
        <f>Total!AH225</f>
        <v>1126939.94</v>
      </c>
      <c r="P8" s="43">
        <f>Total!AG239</f>
        <v>876061.88</v>
      </c>
      <c r="Q8" s="43">
        <f>Total!AI254</f>
        <v>1121508.48</v>
      </c>
      <c r="R8" s="43">
        <f>Total!AG271</f>
        <v>1007649.34</v>
      </c>
      <c r="S8" s="43">
        <f>Total!AH298</f>
        <v>688139.17</v>
      </c>
      <c r="T8" s="43">
        <f>Total!AI316</f>
        <v>697605.16</v>
      </c>
      <c r="U8" s="43">
        <f>Total!AF332</f>
        <v>708199</v>
      </c>
      <c r="V8" s="43">
        <f>Total!AI348</f>
        <v>515323.94</v>
      </c>
      <c r="W8" s="43">
        <f>Total!AH370</f>
        <v>317653.28000000003</v>
      </c>
      <c r="X8" s="43">
        <f>Total!U385</f>
        <v>36792.99</v>
      </c>
      <c r="Y8" s="43">
        <f>Total!AH403</f>
        <v>109445.67</v>
      </c>
      <c r="Z8" s="98">
        <f>+Total!AF424</f>
        <v>264897.65000000002</v>
      </c>
      <c r="AA8" s="37"/>
    </row>
    <row r="9" spans="1:27">
      <c r="A9" s="12" t="s">
        <v>18</v>
      </c>
      <c r="B9" s="33">
        <f>Total!AF20</f>
        <v>461597.61</v>
      </c>
      <c r="C9" s="43">
        <f>Total!AI39</f>
        <v>370117.82</v>
      </c>
      <c r="D9" s="44">
        <f>Total!AG56</f>
        <v>249008.9</v>
      </c>
      <c r="E9" s="43">
        <f>Total!AH72</f>
        <v>347979.18</v>
      </c>
      <c r="F9" s="43">
        <f>Total!AH89</f>
        <v>350769.12</v>
      </c>
      <c r="G9" s="43">
        <f>Total!AG104</f>
        <v>533991.91</v>
      </c>
      <c r="H9" s="43">
        <f>Total!AI119</f>
        <v>743154.48</v>
      </c>
      <c r="I9" s="43">
        <f>Total!AH135+Total!AH137</f>
        <v>1133667.0900000001</v>
      </c>
      <c r="J9" s="43">
        <f>Total!AG150</f>
        <v>426476.43</v>
      </c>
      <c r="K9" s="43">
        <f>Total!AH164</f>
        <v>434733.75</v>
      </c>
      <c r="L9" s="43">
        <f>Total!AA179</f>
        <v>615994.86</v>
      </c>
      <c r="M9" s="43">
        <f>Total!AH197</f>
        <v>278773.65999999997</v>
      </c>
      <c r="N9" s="43">
        <f>Total!AG211+Total!AG213</f>
        <v>1038631.7</v>
      </c>
      <c r="O9" s="43">
        <f>Total!AH226</f>
        <v>737732.75</v>
      </c>
      <c r="P9" s="43">
        <f>Total!AG240</f>
        <v>333279.35999999999</v>
      </c>
      <c r="Q9" s="43">
        <f>Total!AI255</f>
        <v>81951.460000000094</v>
      </c>
      <c r="R9" s="43">
        <f>Total!AG272</f>
        <v>131098.98000000013</v>
      </c>
      <c r="S9" s="43">
        <f>Total!AH299</f>
        <v>124851.85999999981</v>
      </c>
      <c r="T9" s="43">
        <f>Total!AI317</f>
        <v>15628.83</v>
      </c>
      <c r="U9" s="43">
        <f>Total!AF333</f>
        <v>-321686.5099999996</v>
      </c>
      <c r="V9" s="43">
        <f>Total!AI349</f>
        <v>-881808.02999999945</v>
      </c>
      <c r="W9" s="43">
        <f>Total!AH371</f>
        <v>-498915.45000000019</v>
      </c>
      <c r="X9" s="43">
        <f>Total!U386+Total!U387</f>
        <v>-377981.96999999962</v>
      </c>
      <c r="Y9" s="43">
        <f>Total!AH404+Total!AH405</f>
        <v>-316827.09999999986</v>
      </c>
      <c r="Z9" s="98">
        <f>+Total!AF425+350000</f>
        <v>12628.650000000373</v>
      </c>
      <c r="AA9" s="37"/>
    </row>
    <row r="10" spans="1:27" ht="15.75" thickBot="1">
      <c r="A10" s="14" t="s">
        <v>20</v>
      </c>
      <c r="B10" s="36">
        <f t="shared" ref="B10:X10" si="0">SUM(B8:B9)</f>
        <v>1449630.78</v>
      </c>
      <c r="C10" s="36">
        <f t="shared" si="0"/>
        <v>1142070.1000000001</v>
      </c>
      <c r="D10" s="36">
        <f t="shared" si="0"/>
        <v>1570361.6199999999</v>
      </c>
      <c r="E10" s="36">
        <f t="shared" si="0"/>
        <v>1671654.28</v>
      </c>
      <c r="F10" s="36">
        <f t="shared" si="0"/>
        <v>1519212.3900000001</v>
      </c>
      <c r="G10" s="36">
        <f t="shared" si="0"/>
        <v>1319496.8</v>
      </c>
      <c r="H10" s="36">
        <f t="shared" si="0"/>
        <v>1526212.7</v>
      </c>
      <c r="I10" s="36">
        <f t="shared" si="0"/>
        <v>1724251.62</v>
      </c>
      <c r="J10" s="36">
        <f t="shared" si="0"/>
        <v>1335887.3799999999</v>
      </c>
      <c r="K10" s="36">
        <f t="shared" si="0"/>
        <v>1078501.31</v>
      </c>
      <c r="L10" s="36">
        <f t="shared" si="0"/>
        <v>1367450.6</v>
      </c>
      <c r="M10" s="36">
        <f t="shared" si="0"/>
        <v>1267968.75</v>
      </c>
      <c r="N10" s="36">
        <f t="shared" si="0"/>
        <v>1935104.17</v>
      </c>
      <c r="O10" s="36">
        <f t="shared" si="0"/>
        <v>1864672.69</v>
      </c>
      <c r="P10" s="36">
        <f t="shared" si="0"/>
        <v>1209341.24</v>
      </c>
      <c r="Q10" s="36">
        <f t="shared" si="0"/>
        <v>1203459.9400000002</v>
      </c>
      <c r="R10" s="36">
        <f t="shared" si="0"/>
        <v>1138748.32</v>
      </c>
      <c r="S10" s="36">
        <f t="shared" si="0"/>
        <v>812991.0299999998</v>
      </c>
      <c r="T10" s="36">
        <f t="shared" si="0"/>
        <v>713233.99</v>
      </c>
      <c r="U10" s="36">
        <f t="shared" si="0"/>
        <v>386512.4900000004</v>
      </c>
      <c r="V10" s="36">
        <f t="shared" si="0"/>
        <v>-366484.08999999944</v>
      </c>
      <c r="W10" s="36">
        <f t="shared" si="0"/>
        <v>-181262.17000000016</v>
      </c>
      <c r="X10" s="36">
        <f t="shared" si="0"/>
        <v>-341188.97999999963</v>
      </c>
      <c r="Y10" s="36">
        <f t="shared" ref="Y10:Z10" si="1">SUM(Y8:Y9)</f>
        <v>-207381.42999999988</v>
      </c>
      <c r="Z10" s="36">
        <f t="shared" si="1"/>
        <v>277526.3000000004</v>
      </c>
      <c r="AA10" s="36"/>
    </row>
    <row r="11" spans="1:27" ht="15.75" thickTop="1">
      <c r="A11" s="12"/>
      <c r="B11" s="9"/>
      <c r="C11" s="45"/>
      <c r="AA11" s="37"/>
    </row>
    <row r="12" spans="1:27" ht="15.75" thickBot="1">
      <c r="A12" s="12" t="s">
        <v>34</v>
      </c>
      <c r="C12" s="36">
        <f>C10-B10</f>
        <v>-307560.67999999993</v>
      </c>
      <c r="D12" s="36">
        <f t="shared" ref="D12:X12" si="2">D10-C10</f>
        <v>428291.51999999979</v>
      </c>
      <c r="E12" s="36">
        <f t="shared" si="2"/>
        <v>101292.66000000015</v>
      </c>
      <c r="F12" s="36">
        <f t="shared" si="2"/>
        <v>-152441.8899999999</v>
      </c>
      <c r="G12" s="36">
        <f t="shared" si="2"/>
        <v>-199715.59000000008</v>
      </c>
      <c r="H12" s="36">
        <f t="shared" si="2"/>
        <v>206715.89999999991</v>
      </c>
      <c r="I12" s="36">
        <f t="shared" si="2"/>
        <v>198038.92000000016</v>
      </c>
      <c r="J12" s="36">
        <f t="shared" si="2"/>
        <v>-388364.24000000022</v>
      </c>
      <c r="K12" s="36">
        <f t="shared" si="2"/>
        <v>-257386.06999999983</v>
      </c>
      <c r="L12" s="36">
        <f t="shared" si="2"/>
        <v>288949.29000000004</v>
      </c>
      <c r="M12" s="36">
        <f t="shared" si="2"/>
        <v>-99481.850000000093</v>
      </c>
      <c r="N12" s="36">
        <f t="shared" si="2"/>
        <v>667135.41999999993</v>
      </c>
      <c r="O12" s="36">
        <f t="shared" si="2"/>
        <v>-70431.479999999981</v>
      </c>
      <c r="P12" s="36">
        <f t="shared" si="2"/>
        <v>-655331.44999999995</v>
      </c>
      <c r="Q12" s="36">
        <f t="shared" si="2"/>
        <v>-5881.2999999998137</v>
      </c>
      <c r="R12" s="36">
        <f t="shared" si="2"/>
        <v>-64711.620000000112</v>
      </c>
      <c r="S12" s="36">
        <f t="shared" si="2"/>
        <v>-325757.29000000027</v>
      </c>
      <c r="T12" s="36">
        <f t="shared" si="2"/>
        <v>-99757.039999999804</v>
      </c>
      <c r="U12" s="36">
        <f t="shared" si="2"/>
        <v>-326721.49999999959</v>
      </c>
      <c r="V12" s="36">
        <f t="shared" si="2"/>
        <v>-752996.57999999984</v>
      </c>
      <c r="W12" s="36">
        <f t="shared" si="2"/>
        <v>185221.91999999929</v>
      </c>
      <c r="X12" s="36">
        <f t="shared" si="2"/>
        <v>-159926.80999999947</v>
      </c>
      <c r="Y12" s="36">
        <f>Y10-X10</f>
        <v>133807.54999999976</v>
      </c>
      <c r="Z12" s="36">
        <f>Z10-Y10</f>
        <v>484907.73000000027</v>
      </c>
      <c r="AA12" s="37"/>
    </row>
    <row r="13" spans="1:27" ht="15.75" thickTop="1"/>
    <row r="15" spans="1:27">
      <c r="B15" s="57">
        <f>B10-Total!AF21</f>
        <v>0</v>
      </c>
      <c r="C15" s="57">
        <f>C10-Total!AI40</f>
        <v>0</v>
      </c>
      <c r="D15" s="57">
        <f>D10-Total!AG57</f>
        <v>0</v>
      </c>
      <c r="E15" s="57">
        <f>E10-Total!AH73</f>
        <v>0</v>
      </c>
      <c r="F15" s="57">
        <f>F10-Total!AH90</f>
        <v>0</v>
      </c>
      <c r="G15" s="57">
        <f>G10-Total!AG105</f>
        <v>0</v>
      </c>
      <c r="H15" s="57">
        <f>H10-Total!AI120</f>
        <v>0</v>
      </c>
      <c r="I15" s="57">
        <f>I10-Total!AH138</f>
        <v>0</v>
      </c>
      <c r="J15" s="57">
        <f>J10-Total!AG151</f>
        <v>0</v>
      </c>
      <c r="K15" s="57">
        <f>K10-Total!AH165</f>
        <v>0</v>
      </c>
      <c r="L15" s="57">
        <f>L10-Total!AA180</f>
        <v>0</v>
      </c>
      <c r="M15" s="57">
        <f>M10-Total!AH198</f>
        <v>0</v>
      </c>
      <c r="N15" s="57">
        <f>N10-Total!AG214</f>
        <v>0</v>
      </c>
      <c r="O15" s="57">
        <f>O10-Total!AH227</f>
        <v>0</v>
      </c>
      <c r="P15" s="57">
        <f>P10-Total!AG241</f>
        <v>0</v>
      </c>
      <c r="Q15" s="57">
        <f>Q10-Total!AI256</f>
        <v>0</v>
      </c>
      <c r="R15" s="57">
        <f>R10-Total!AG273</f>
        <v>0</v>
      </c>
      <c r="S15" s="57">
        <f>S10-Total!AH300</f>
        <v>0</v>
      </c>
      <c r="T15" s="57">
        <f>T10-Total!AI318</f>
        <v>0</v>
      </c>
      <c r="U15" s="57">
        <f>U10-Total!AF335</f>
        <v>0</v>
      </c>
      <c r="V15" s="57">
        <f>V10-Total!AI351</f>
        <v>0</v>
      </c>
      <c r="W15" s="57">
        <f>W10-Total!AH373</f>
        <v>0</v>
      </c>
      <c r="X15" s="57">
        <f>X10-Total!U388</f>
        <v>0</v>
      </c>
      <c r="Y15" s="57">
        <f>Y10-Total!AH406</f>
        <v>0</v>
      </c>
    </row>
  </sheetData>
  <pageMargins left="0.7" right="0.7" top="0.75" bottom="0.75" header="0.3" footer="0.3"/>
  <pageSetup scale="3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I15" sqref="I15"/>
    </sheetView>
  </sheetViews>
  <sheetFormatPr defaultRowHeight="15"/>
  <cols>
    <col min="1" max="1" width="26" customWidth="1"/>
    <col min="2" max="2" width="10.5703125" customWidth="1"/>
    <col min="3" max="4" width="10" customWidth="1"/>
    <col min="5" max="5" width="13" customWidth="1"/>
    <col min="6" max="6" width="11" customWidth="1"/>
    <col min="7" max="8" width="10" customWidth="1"/>
    <col min="9" max="9" width="11.7109375" customWidth="1"/>
    <col min="10" max="14" width="9.7109375" bestFit="1" customWidth="1"/>
    <col min="15" max="17" width="10.7109375" bestFit="1" customWidth="1"/>
    <col min="18" max="18" width="9.7109375" bestFit="1" customWidth="1"/>
  </cols>
  <sheetData>
    <row r="1" spans="1:9">
      <c r="A1" s="18" t="s">
        <v>32</v>
      </c>
    </row>
    <row r="2" spans="1:9">
      <c r="A2" s="18" t="s">
        <v>33</v>
      </c>
    </row>
    <row r="4" spans="1:9">
      <c r="B4" s="38">
        <v>38898</v>
      </c>
      <c r="C4" s="38">
        <v>39263</v>
      </c>
      <c r="D4" s="38">
        <v>39629</v>
      </c>
      <c r="E4" s="38">
        <v>39994</v>
      </c>
      <c r="F4" s="38">
        <v>40359</v>
      </c>
      <c r="G4" s="38">
        <v>40724</v>
      </c>
      <c r="H4" s="38">
        <v>41090</v>
      </c>
      <c r="I4" s="38">
        <v>41455</v>
      </c>
    </row>
    <row r="5" spans="1:9" hidden="1">
      <c r="A5" s="5" t="s">
        <v>19</v>
      </c>
      <c r="B5" s="5"/>
      <c r="C5" s="5"/>
      <c r="D5" s="5"/>
      <c r="E5" s="5"/>
      <c r="F5" s="5"/>
      <c r="I5" s="103"/>
    </row>
    <row r="6" spans="1:9" hidden="1">
      <c r="A6" s="12" t="s">
        <v>28</v>
      </c>
      <c r="B6" s="12"/>
      <c r="C6" s="12"/>
      <c r="D6" s="12"/>
      <c r="E6" s="30">
        <v>1840722</v>
      </c>
      <c r="F6" s="30">
        <v>1589082</v>
      </c>
      <c r="G6" s="31">
        <v>1140478.3600000001</v>
      </c>
      <c r="H6" s="31">
        <v>1120228.0900000001</v>
      </c>
      <c r="I6" s="103"/>
    </row>
    <row r="7" spans="1:9" hidden="1">
      <c r="A7" s="12" t="s">
        <v>18</v>
      </c>
      <c r="B7" s="12"/>
      <c r="C7" s="12"/>
      <c r="D7" s="12"/>
      <c r="E7" s="32">
        <v>108007.55</v>
      </c>
      <c r="F7" s="32">
        <v>408960.32</v>
      </c>
      <c r="G7" s="32">
        <v>980181.08000000031</v>
      </c>
      <c r="H7" s="32">
        <v>1091769.7999999998</v>
      </c>
      <c r="I7" s="103"/>
    </row>
    <row r="8" spans="1:9" hidden="1">
      <c r="A8" s="14" t="s">
        <v>20</v>
      </c>
      <c r="B8" s="14"/>
      <c r="C8" s="14"/>
      <c r="D8" s="14"/>
      <c r="E8" s="30">
        <f t="shared" ref="E8:F8" si="0">+E6+E7</f>
        <v>1948729.55</v>
      </c>
      <c r="F8" s="30">
        <f t="shared" si="0"/>
        <v>1998042.32</v>
      </c>
      <c r="G8" s="30">
        <f>+G6+G7</f>
        <v>2120659.4400000004</v>
      </c>
      <c r="H8" s="30">
        <f t="shared" ref="H8" si="1">+H6+H7</f>
        <v>2211997.8899999997</v>
      </c>
      <c r="I8" s="103"/>
    </row>
    <row r="9" spans="1:9">
      <c r="B9" s="115" t="s">
        <v>35</v>
      </c>
      <c r="C9" s="115"/>
      <c r="D9" s="115"/>
      <c r="I9" s="103"/>
    </row>
    <row r="10" spans="1:9">
      <c r="I10" s="103"/>
    </row>
    <row r="11" spans="1:9">
      <c r="A11" s="37" t="s">
        <v>163</v>
      </c>
      <c r="B11" s="9"/>
      <c r="C11" s="9"/>
      <c r="D11" s="9"/>
      <c r="E11" s="33">
        <v>1627451.0259999989</v>
      </c>
      <c r="F11" s="33">
        <v>1262817.2159999984</v>
      </c>
      <c r="G11" s="33">
        <v>1039418</v>
      </c>
      <c r="H11" s="33">
        <v>1048391</v>
      </c>
      <c r="I11" s="104">
        <v>1104454.4199999974</v>
      </c>
    </row>
    <row r="12" spans="1:9">
      <c r="A12" s="30" t="s">
        <v>36</v>
      </c>
      <c r="B12" s="9"/>
      <c r="C12" s="9"/>
      <c r="D12" s="9"/>
      <c r="E12" s="35">
        <v>108007.55</v>
      </c>
      <c r="F12" s="35">
        <v>408960.32</v>
      </c>
      <c r="G12" s="35">
        <v>350769.12</v>
      </c>
      <c r="H12" s="35">
        <v>131098.98000000001</v>
      </c>
      <c r="I12" s="33">
        <v>370488.11</v>
      </c>
    </row>
    <row r="13" spans="1:9" ht="15.75" thickBot="1">
      <c r="A13" s="14" t="s">
        <v>20</v>
      </c>
      <c r="B13" s="11">
        <v>2868704</v>
      </c>
      <c r="C13" s="36">
        <v>2785335</v>
      </c>
      <c r="D13" s="36">
        <v>2695093</v>
      </c>
      <c r="E13" s="36">
        <f>SUM(E11:E12)</f>
        <v>1735458.575999999</v>
      </c>
      <c r="F13" s="36">
        <f t="shared" ref="F13:H13" si="2">SUM(F11:F12)</f>
        <v>1671777.5359999985</v>
      </c>
      <c r="G13" s="36">
        <f t="shared" si="2"/>
        <v>1390187.12</v>
      </c>
      <c r="H13" s="36">
        <f t="shared" si="2"/>
        <v>1179489.98</v>
      </c>
      <c r="I13" s="36">
        <f t="shared" ref="I13" si="3">SUM(I11:I12)</f>
        <v>1474942.5299999975</v>
      </c>
    </row>
    <row r="14" spans="1:9" ht="15.75" thickTop="1">
      <c r="B14" s="9"/>
      <c r="C14" s="9"/>
      <c r="D14" s="9"/>
      <c r="E14" s="9"/>
      <c r="F14" s="9"/>
      <c r="G14" s="9"/>
      <c r="H14" s="9"/>
      <c r="I14" s="33"/>
    </row>
    <row r="15" spans="1:9" ht="15.75" thickBot="1">
      <c r="A15" s="37" t="s">
        <v>34</v>
      </c>
      <c r="B15" s="33" t="s">
        <v>29</v>
      </c>
      <c r="C15" s="36">
        <f t="shared" ref="C15:I15" si="4">C13-B13</f>
        <v>-83369</v>
      </c>
      <c r="D15" s="36">
        <f t="shared" si="4"/>
        <v>-90242</v>
      </c>
      <c r="E15" s="36">
        <f t="shared" si="4"/>
        <v>-959634.42400000105</v>
      </c>
      <c r="F15" s="36">
        <f t="shared" si="4"/>
        <v>-63681.040000000503</v>
      </c>
      <c r="G15" s="36">
        <f t="shared" si="4"/>
        <v>-281590.41599999834</v>
      </c>
      <c r="H15" s="36">
        <f t="shared" si="4"/>
        <v>-210697.14000000013</v>
      </c>
      <c r="I15" s="36">
        <f t="shared" si="4"/>
        <v>295452.54999999749</v>
      </c>
    </row>
    <row r="16" spans="1:9" ht="15.75" thickTop="1">
      <c r="B16" s="9"/>
      <c r="C16" s="9"/>
      <c r="D16" s="9"/>
      <c r="G16" s="9"/>
      <c r="H16" s="9"/>
    </row>
    <row r="35" spans="3:3">
      <c r="C35" t="s">
        <v>13</v>
      </c>
    </row>
  </sheetData>
  <mergeCells count="1">
    <mergeCell ref="B9:D9"/>
  </mergeCells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opLeftCell="O1" workbookViewId="0">
      <selection activeCell="C40" sqref="C40"/>
    </sheetView>
  </sheetViews>
  <sheetFormatPr defaultRowHeight="15"/>
  <cols>
    <col min="1" max="1" width="26" customWidth="1"/>
    <col min="2" max="2" width="10.5703125" customWidth="1"/>
    <col min="3" max="4" width="10" customWidth="1"/>
    <col min="5" max="5" width="13" customWidth="1"/>
    <col min="6" max="6" width="11" customWidth="1"/>
    <col min="7" max="9" width="10" customWidth="1"/>
    <col min="10" max="10" width="11.28515625" customWidth="1"/>
    <col min="11" max="11" width="12.85546875" customWidth="1"/>
    <col min="12" max="12" width="11.28515625" customWidth="1"/>
    <col min="13" max="14" width="10" customWidth="1"/>
    <col min="15" max="15" width="11.5703125" bestFit="1" customWidth="1"/>
    <col min="16" max="21" width="9.7109375" bestFit="1" customWidth="1"/>
    <col min="22" max="24" width="10.7109375" bestFit="1" customWidth="1"/>
    <col min="25" max="25" width="9.7109375" bestFit="1" customWidth="1"/>
  </cols>
  <sheetData>
    <row r="1" spans="1:15">
      <c r="A1" s="18" t="s">
        <v>32</v>
      </c>
    </row>
    <row r="2" spans="1:15">
      <c r="A2" s="18" t="s">
        <v>33</v>
      </c>
    </row>
    <row r="4" spans="1:15">
      <c r="B4" s="38">
        <v>38898</v>
      </c>
      <c r="C4" s="38">
        <v>39263</v>
      </c>
      <c r="D4" s="38">
        <v>39629</v>
      </c>
      <c r="E4" s="38">
        <v>39994</v>
      </c>
      <c r="F4" s="38">
        <v>40359</v>
      </c>
      <c r="G4" s="38">
        <v>40390</v>
      </c>
      <c r="H4" s="38">
        <v>40421</v>
      </c>
      <c r="I4" s="38">
        <v>40451</v>
      </c>
      <c r="J4" s="38">
        <v>40482</v>
      </c>
      <c r="K4" s="38">
        <v>40512</v>
      </c>
      <c r="L4" s="38">
        <v>40543</v>
      </c>
      <c r="M4" s="39">
        <v>40574</v>
      </c>
      <c r="N4" s="38">
        <v>40602</v>
      </c>
      <c r="O4" s="38">
        <v>40633</v>
      </c>
    </row>
    <row r="5" spans="1:15" hidden="1">
      <c r="A5" s="5" t="s">
        <v>19</v>
      </c>
      <c r="B5" s="5"/>
      <c r="C5" s="5"/>
      <c r="D5" s="5"/>
      <c r="E5" s="5"/>
      <c r="F5" s="5"/>
    </row>
    <row r="6" spans="1:15" hidden="1">
      <c r="A6" s="12" t="s">
        <v>28</v>
      </c>
      <c r="B6" s="12"/>
      <c r="C6" s="12"/>
      <c r="D6" s="12"/>
      <c r="E6" s="30">
        <v>1840722</v>
      </c>
      <c r="F6" s="30">
        <v>1589082</v>
      </c>
      <c r="G6" s="31">
        <v>1140478.3600000001</v>
      </c>
      <c r="H6" s="31">
        <v>1120228.0900000001</v>
      </c>
      <c r="I6" s="31">
        <v>1470173.19</v>
      </c>
      <c r="J6" s="31">
        <v>1070929.55</v>
      </c>
      <c r="K6" s="31">
        <v>1203843.29</v>
      </c>
      <c r="L6" s="31">
        <v>1833030.63</v>
      </c>
      <c r="M6" s="31">
        <v>1429054.24</v>
      </c>
      <c r="N6" s="31">
        <v>1033887.06</v>
      </c>
    </row>
    <row r="7" spans="1:15" hidden="1">
      <c r="A7" s="12" t="s">
        <v>18</v>
      </c>
      <c r="B7" s="12"/>
      <c r="C7" s="12"/>
      <c r="D7" s="12"/>
      <c r="E7" s="32">
        <v>108007.55</v>
      </c>
      <c r="F7" s="32">
        <v>408960.32</v>
      </c>
      <c r="G7" s="32">
        <v>980181.08000000031</v>
      </c>
      <c r="H7" s="32">
        <v>1091769.7999999998</v>
      </c>
      <c r="I7" s="32">
        <v>146777.70000000007</v>
      </c>
      <c r="J7" s="32">
        <v>594572.86</v>
      </c>
      <c r="K7" s="32">
        <v>904903.25</v>
      </c>
      <c r="L7" s="32">
        <v>463384.68999999971</v>
      </c>
      <c r="M7" s="32">
        <v>540822.57999999996</v>
      </c>
      <c r="N7" s="32">
        <v>768150.4499999996</v>
      </c>
    </row>
    <row r="8" spans="1:15" hidden="1">
      <c r="A8" s="14" t="s">
        <v>20</v>
      </c>
      <c r="B8" s="14"/>
      <c r="C8" s="14"/>
      <c r="D8" s="14"/>
      <c r="E8" s="30">
        <f t="shared" ref="E8:F8" si="0">+E6+E7</f>
        <v>1948729.55</v>
      </c>
      <c r="F8" s="30">
        <f t="shared" si="0"/>
        <v>1998042.32</v>
      </c>
      <c r="G8" s="30">
        <f>+G6+G7</f>
        <v>2120659.4400000004</v>
      </c>
      <c r="H8" s="30">
        <f t="shared" ref="H8:N8" si="1">+H6+H7</f>
        <v>2211997.8899999997</v>
      </c>
      <c r="I8" s="30">
        <f t="shared" si="1"/>
        <v>1616950.8900000001</v>
      </c>
      <c r="J8" s="30">
        <f t="shared" si="1"/>
        <v>1665502.4100000001</v>
      </c>
      <c r="K8" s="30">
        <f t="shared" si="1"/>
        <v>2108746.54</v>
      </c>
      <c r="L8" s="30">
        <f t="shared" si="1"/>
        <v>2296415.3199999994</v>
      </c>
      <c r="M8" s="30">
        <f t="shared" si="1"/>
        <v>1969876.8199999998</v>
      </c>
      <c r="N8" s="30">
        <f t="shared" si="1"/>
        <v>1802037.5099999998</v>
      </c>
    </row>
    <row r="9" spans="1:15">
      <c r="B9" s="115" t="s">
        <v>35</v>
      </c>
      <c r="C9" s="115"/>
      <c r="D9" s="115"/>
    </row>
    <row r="11" spans="1:15">
      <c r="A11" s="37" t="s">
        <v>27</v>
      </c>
      <c r="B11" s="9"/>
      <c r="C11" s="9"/>
      <c r="D11" s="9"/>
      <c r="E11" s="33">
        <v>1627451.0259999989</v>
      </c>
      <c r="F11" s="33">
        <v>1262817.2159999984</v>
      </c>
      <c r="G11" s="33">
        <v>847028.40000000014</v>
      </c>
      <c r="H11" s="33">
        <v>817239.77000000025</v>
      </c>
      <c r="I11" s="33">
        <v>1188300.6000000003</v>
      </c>
      <c r="J11" s="34">
        <v>737870.08000000077</v>
      </c>
      <c r="K11" s="33">
        <v>924990.5200000013</v>
      </c>
      <c r="L11" s="33">
        <v>1496437.7700000019</v>
      </c>
      <c r="M11" s="33">
        <v>1161117.4100000006</v>
      </c>
      <c r="N11" s="33">
        <v>759532.79</v>
      </c>
      <c r="O11" s="43">
        <v>652031.70000000054</v>
      </c>
    </row>
    <row r="12" spans="1:15">
      <c r="A12" s="30" t="s">
        <v>36</v>
      </c>
      <c r="B12" s="9"/>
      <c r="C12" s="9"/>
      <c r="D12" s="9"/>
      <c r="E12" s="35">
        <v>108007.55</v>
      </c>
      <c r="F12" s="35">
        <v>408960.32</v>
      </c>
      <c r="G12" s="35">
        <v>980181.08000000031</v>
      </c>
      <c r="H12" s="35">
        <v>1091769.7999999998</v>
      </c>
      <c r="I12" s="35">
        <v>146777.70000000007</v>
      </c>
      <c r="J12" s="35">
        <v>594572.86</v>
      </c>
      <c r="K12" s="35">
        <v>904903.25</v>
      </c>
      <c r="L12" s="35">
        <v>463384.68999999971</v>
      </c>
      <c r="M12" s="35">
        <v>540822.57999999996</v>
      </c>
      <c r="N12" s="35">
        <v>768150.4499999996</v>
      </c>
      <c r="O12" s="44">
        <v>572517.12</v>
      </c>
    </row>
    <row r="13" spans="1:15" ht="15.75" thickBot="1">
      <c r="A13" s="14" t="s">
        <v>20</v>
      </c>
      <c r="B13" s="11">
        <v>2868704</v>
      </c>
      <c r="C13" s="36">
        <v>2785335</v>
      </c>
      <c r="D13" s="36">
        <v>2695093</v>
      </c>
      <c r="E13" s="36">
        <f>SUM(E11:E12)</f>
        <v>1735458.575999999</v>
      </c>
      <c r="F13" s="36">
        <f t="shared" ref="F13:O13" si="2">SUM(F11:F12)</f>
        <v>1671777.5359999985</v>
      </c>
      <c r="G13" s="36">
        <f t="shared" si="2"/>
        <v>1827209.4800000004</v>
      </c>
      <c r="H13" s="36">
        <f t="shared" si="2"/>
        <v>1909009.57</v>
      </c>
      <c r="I13" s="36">
        <f t="shared" si="2"/>
        <v>1335078.3000000003</v>
      </c>
      <c r="J13" s="36">
        <f t="shared" si="2"/>
        <v>1332442.9400000009</v>
      </c>
      <c r="K13" s="36">
        <f t="shared" si="2"/>
        <v>1829893.7700000014</v>
      </c>
      <c r="L13" s="36">
        <f t="shared" si="2"/>
        <v>1959822.4600000016</v>
      </c>
      <c r="M13" s="36">
        <f t="shared" si="2"/>
        <v>1701939.9900000007</v>
      </c>
      <c r="N13" s="36">
        <f t="shared" si="2"/>
        <v>1527683.2399999998</v>
      </c>
      <c r="O13" s="36">
        <f t="shared" si="2"/>
        <v>1224548.8200000005</v>
      </c>
    </row>
    <row r="14" spans="1:15" ht="15.75" thickTop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45"/>
    </row>
    <row r="15" spans="1:15" ht="15.75" thickBot="1">
      <c r="A15" s="37" t="s">
        <v>34</v>
      </c>
      <c r="B15" s="33" t="s">
        <v>29</v>
      </c>
      <c r="C15" s="36">
        <f t="shared" ref="C15:E15" si="3">C13-B13</f>
        <v>-83369</v>
      </c>
      <c r="D15" s="36">
        <f t="shared" si="3"/>
        <v>-90242</v>
      </c>
      <c r="E15" s="36">
        <f t="shared" si="3"/>
        <v>-959634.42400000105</v>
      </c>
      <c r="F15" s="36">
        <f t="shared" ref="F15:M15" si="4">F13-E13</f>
        <v>-63681.040000000503</v>
      </c>
      <c r="G15" s="36">
        <f t="shared" si="4"/>
        <v>155431.944000002</v>
      </c>
      <c r="H15" s="36">
        <f t="shared" si="4"/>
        <v>81800.089999999618</v>
      </c>
      <c r="I15" s="36">
        <f t="shared" si="4"/>
        <v>-573931.26999999979</v>
      </c>
      <c r="J15" s="36">
        <f t="shared" si="4"/>
        <v>-2635.359999999404</v>
      </c>
      <c r="K15" s="36">
        <f t="shared" si="4"/>
        <v>497450.83000000054</v>
      </c>
      <c r="L15" s="36">
        <f t="shared" si="4"/>
        <v>129928.69000000018</v>
      </c>
      <c r="M15" s="36">
        <f t="shared" si="4"/>
        <v>-257882.4700000009</v>
      </c>
      <c r="N15" s="36">
        <f>N13-M13</f>
        <v>-174256.75000000093</v>
      </c>
      <c r="O15" s="36">
        <f>O13-N13</f>
        <v>-303134.41999999923</v>
      </c>
    </row>
    <row r="16" spans="1:15" ht="16.5" thickTop="1" thickBot="1">
      <c r="B16" s="9"/>
      <c r="C16" s="9"/>
      <c r="D16" s="9"/>
      <c r="E16" s="40" t="s">
        <v>31</v>
      </c>
      <c r="F16" s="41">
        <f>SUM(C15:F15)</f>
        <v>-1196926.4640000015</v>
      </c>
      <c r="G16" s="9"/>
      <c r="H16" s="9"/>
      <c r="I16" s="9"/>
      <c r="J16" s="9"/>
      <c r="K16" s="9"/>
      <c r="L16" s="9"/>
      <c r="M16" s="40" t="s">
        <v>30</v>
      </c>
      <c r="N16" s="42">
        <f>SUM(G15:N15)</f>
        <v>-144094.29599999869</v>
      </c>
      <c r="O16" s="45"/>
    </row>
  </sheetData>
  <mergeCells count="1">
    <mergeCell ref="B9:D9"/>
  </mergeCells>
  <pageMargins left="0.7" right="0.7" top="0.75" bottom="0.75" header="0.3" footer="0.3"/>
  <pageSetup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Actual Month End</vt:lpstr>
      <vt:lpstr>Actual Year End</vt:lpstr>
      <vt:lpstr>Reconciled Month 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ansatzd</dc:creator>
  <cp:lastModifiedBy>%USERNAME%</cp:lastModifiedBy>
  <cp:lastPrinted>2013-10-24T13:22:31Z</cp:lastPrinted>
  <dcterms:created xsi:type="dcterms:W3CDTF">2011-01-27T21:30:57Z</dcterms:created>
  <dcterms:modified xsi:type="dcterms:W3CDTF">2014-10-06T13:01:21Z</dcterms:modified>
</cp:coreProperties>
</file>